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23110_Budget_Analysis\Shared\EA_General\Earnings Analysis\Financial Supplement\2026\Q2 2026\"/>
    </mc:Choice>
  </mc:AlternateContent>
  <xr:revisionPtr revIDLastSave="0" documentId="13_ncr:1_{285C06DF-0A31-4ADD-A035-74E214BC2FBC}" xr6:coauthVersionLast="47" xr6:coauthVersionMax="47" xr10:uidLastSave="{00000000-0000-0000-0000-000000000000}"/>
  <bookViews>
    <workbookView xWindow="-28920" yWindow="-975" windowWidth="29040" windowHeight="15720" tabRatio="731" firstSheet="2" activeTab="2" xr2:uid="{5DB29781-50F2-4CA6-AF6D-E8994F2E0762}"/>
  </bookViews>
  <sheets>
    <sheet name="CrossfireHiddenWorksheet" sheetId="2" state="veryHidden" r:id="rId1"/>
    <sheet name="OfficeConnectCellHighlights" sheetId="3" state="veryHidden" r:id="rId2"/>
    <sheet name="Cover" sheetId="22" r:id="rId3"/>
    <sheet name="Contents" sheetId="23" r:id="rId4"/>
    <sheet name="Preface" sheetId="25" r:id="rId5"/>
    <sheet name="BS" sheetId="1" r:id="rId6"/>
    <sheet name="Corp" sheetId="4" r:id="rId7"/>
    <sheet name="IS" sheetId="5" r:id="rId8"/>
    <sheet name="Recon" sheetId="6" r:id="rId9"/>
    <sheet name="Term 1" sheetId="8" r:id="rId10"/>
    <sheet name="Term 2" sheetId="9" r:id="rId11"/>
    <sheet name="Cognos_Office_Connection_Cache" sheetId="11" state="veryHidden" r:id="rId12"/>
    <sheet name="ISP 1" sheetId="10" r:id="rId13"/>
    <sheet name="ISP 2" sheetId="12" r:id="rId14"/>
    <sheet name="CNO" sheetId="14" r:id="rId15"/>
    <sheet name="Inv 1" sheetId="15" r:id="rId16"/>
    <sheet name="Inv 2" sheetId="16" r:id="rId17"/>
    <sheet name="Inv 3" sheetId="17" r:id="rId18"/>
    <sheet name="5yr" sheetId="19" r:id="rId19"/>
    <sheet name="Manual" sheetId="18" r:id="rId20"/>
    <sheet name="CHECK" sheetId="20" r:id="rId21"/>
    <sheet name="IR" sheetId="21" r:id="rId22"/>
  </sheets>
  <definedNames>
    <definedName name="_xlnm._FilterDatabase" localSheetId="19" hidden="1">Manual!$BA$1:$BA$91</definedName>
    <definedName name="ID" localSheetId="18" hidden="1">"ca52eb23-773e-48c4-a1fb-a50efc24b7d3"</definedName>
    <definedName name="ID" localSheetId="5" hidden="1">"19e14e31-adb1-4968-a76a-3d77ca7cceaf"</definedName>
    <definedName name="ID" localSheetId="20" hidden="1">"51dce38f-aa72-4be7-88d1-ab7d51aefa5e"</definedName>
    <definedName name="ID" localSheetId="14" hidden="1">"2ad9a02c-925a-4d08-9710-1db79892e8a1"</definedName>
    <definedName name="ID" localSheetId="11" hidden="1">"768ffd0a-9f4f-4fc7-90b5-697897f22b4b"</definedName>
    <definedName name="ID" localSheetId="3" hidden="1">"c2277610-40ae-4959-83f3-316385461546"</definedName>
    <definedName name="ID" localSheetId="6" hidden="1">"4d832b5f-eba7-47f9-8194-ce16bd03287b"</definedName>
    <definedName name="ID" localSheetId="2" hidden="1">"dc712e19-1137-4c1b-a4ec-5aed5de37699"</definedName>
    <definedName name="ID" localSheetId="0" hidden="1">"1d690428-236f-4f33-a0ab-b3d7112727dc"</definedName>
    <definedName name="ID" localSheetId="15" hidden="1">"273b021a-ee68-404d-93ad-39fae6613da4"</definedName>
    <definedName name="ID" localSheetId="16" hidden="1">"93b4ab47-0daf-41f5-a486-91df7c1c6d05"</definedName>
    <definedName name="ID" localSheetId="17" hidden="1">"6c273748-5e00-4dbb-8e43-17ec5247b5b7"</definedName>
    <definedName name="ID" localSheetId="21" hidden="1">"9bf68993-7fe5-4a9c-b4ad-d08fe4318edc"</definedName>
    <definedName name="ID" localSheetId="7" hidden="1">"ca20f302-c4d9-478e-a059-7819237b0fa6"</definedName>
    <definedName name="ID" localSheetId="12" hidden="1">"38021705-060e-4af1-8abe-910a2f13e3ae"</definedName>
    <definedName name="ID" localSheetId="13" hidden="1">"bf497dfb-f8e2-4111-9954-e4e694186470"</definedName>
    <definedName name="ID" localSheetId="19" hidden="1">"1539d485-4194-4c3f-9330-7766d1468ecf"</definedName>
    <definedName name="ID" localSheetId="1" hidden="1">"5c3c8c07-a6b2-4d40-be68-84645ae46f3a"</definedName>
    <definedName name="ID" localSheetId="4" hidden="1">"a795c4ba-1098-4990-a4d0-0a6345433b5d"</definedName>
    <definedName name="ID" localSheetId="8" hidden="1">"4bd266a5-d6c3-4ed6-8dc5-bc5c45bcd034"</definedName>
    <definedName name="ID" localSheetId="9" hidden="1">"4e56ce09-c7e2-40a1-9fca-d80ce79f752b"</definedName>
    <definedName name="ID" localSheetId="10" hidden="1">"20a0063b-b9d4-4efd-aac4-4964140cd95d"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Manual!$G$92</definedName>
    <definedName name="minvar">Manual!$G$91</definedName>
    <definedName name="_xlnm.Print_Area" localSheetId="18">'5yr'!$G$1:$Z$42</definedName>
    <definedName name="_xlnm.Print_Area" localSheetId="5">BS!$G$1:$V$64</definedName>
    <definedName name="_xlnm.Print_Area" localSheetId="14">CNO!$G$1:$AG$33</definedName>
    <definedName name="_xlnm.Print_Area" localSheetId="3">Contents!$A$1:$J$39</definedName>
    <definedName name="_xlnm.Print_Area" localSheetId="6">Corp!$G$1:$AG$66</definedName>
    <definedName name="_xlnm.Print_Area" localSheetId="2">Cover!$A$1:$J$27</definedName>
    <definedName name="_xlnm.Print_Area" localSheetId="15">'Inv 1'!$G$1:$V$71</definedName>
    <definedName name="_xlnm.Print_Area" localSheetId="16">'Inv 2'!$G$1:$W$67</definedName>
    <definedName name="_xlnm.Print_Area" localSheetId="17">'Inv 3'!$G$1:$AD$73</definedName>
    <definedName name="_xlnm.Print_Area" localSheetId="7">IS!$G$1:$AG$49</definedName>
    <definedName name="_xlnm.Print_Area" localSheetId="12">'ISP 1'!$G$1:$AG$52</definedName>
    <definedName name="_xlnm.Print_Area" localSheetId="13">'ISP 2'!$G$1:$AG$58</definedName>
    <definedName name="_xlnm.Print_Area" localSheetId="4">Preface!$A$1:$N$59</definedName>
    <definedName name="_xlnm.Print_Area" localSheetId="8">Recon!$G$1:$AG$46</definedName>
    <definedName name="_xlnm.Print_Area" localSheetId="9">'Term 1'!$G$1:$AG$54</definedName>
    <definedName name="_xlnm.Print_Area" localSheetId="10">'Term 2'!$G$1:$AG$32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 i="15" l="1"/>
  <c r="H71" i="1"/>
  <c r="U71" i="1"/>
  <c r="V71" i="1"/>
  <c r="I72" i="1"/>
  <c r="U73" i="1"/>
  <c r="V73" i="1"/>
  <c r="H75" i="1"/>
  <c r="I76" i="1"/>
  <c r="T77" i="1"/>
  <c r="T75" i="1"/>
  <c r="U77" i="1"/>
  <c r="U75" i="1"/>
  <c r="H79" i="1"/>
  <c r="N79" i="1"/>
  <c r="N77" i="1"/>
  <c r="N75" i="1"/>
  <c r="O79" i="1"/>
  <c r="O77" i="1"/>
  <c r="O75" i="1"/>
  <c r="P79" i="1"/>
  <c r="P77" i="1"/>
  <c r="P75" i="1"/>
  <c r="Q79" i="1"/>
  <c r="Q77" i="1"/>
  <c r="Q75" i="1"/>
  <c r="R79" i="1"/>
  <c r="R77" i="1"/>
  <c r="R75" i="1"/>
  <c r="S79" i="1"/>
  <c r="S77" i="1"/>
  <c r="S75" i="1"/>
  <c r="T79" i="1"/>
  <c r="U79" i="1"/>
  <c r="V79" i="1"/>
  <c r="V77" i="1"/>
  <c r="V75" i="1"/>
  <c r="I80" i="1"/>
  <c r="H82" i="1"/>
  <c r="N82" i="1"/>
  <c r="O82" i="1"/>
  <c r="P82" i="1"/>
  <c r="Q82" i="1"/>
  <c r="R82" i="1"/>
  <c r="S82" i="1"/>
  <c r="T82" i="1"/>
  <c r="U82" i="1"/>
  <c r="V82" i="1"/>
  <c r="I83" i="1"/>
  <c r="H85" i="1"/>
  <c r="N85" i="1"/>
  <c r="O85" i="1"/>
  <c r="P85" i="1"/>
  <c r="Q85" i="1"/>
  <c r="R85" i="1"/>
  <c r="S85" i="1"/>
  <c r="T85" i="1"/>
  <c r="U85" i="1"/>
  <c r="V85" i="1"/>
  <c r="I86" i="1"/>
  <c r="H88" i="1"/>
  <c r="N88" i="1"/>
  <c r="O88" i="1"/>
  <c r="P88" i="1"/>
  <c r="Q88" i="1"/>
  <c r="R88" i="1"/>
  <c r="S88" i="1"/>
  <c r="T88" i="1"/>
  <c r="U88" i="1"/>
  <c r="V88" i="1"/>
  <c r="I89" i="1"/>
  <c r="I90" i="1"/>
  <c r="I91" i="1"/>
  <c r="I92" i="1"/>
  <c r="I93" i="1"/>
  <c r="I94" i="1"/>
  <c r="I95" i="1"/>
  <c r="H97" i="1"/>
  <c r="N97" i="1"/>
  <c r="O97" i="1"/>
  <c r="P97" i="1"/>
  <c r="Q97" i="1"/>
  <c r="R97" i="1"/>
  <c r="S97" i="1"/>
  <c r="T97" i="1"/>
  <c r="U97" i="1"/>
  <c r="V97" i="1"/>
  <c r="I98" i="1"/>
  <c r="H101" i="1"/>
  <c r="U101" i="1"/>
  <c r="U103" i="1"/>
  <c r="V101" i="1"/>
  <c r="V103" i="1"/>
  <c r="I102" i="1"/>
  <c r="H105" i="1"/>
  <c r="N105" i="1"/>
  <c r="O105" i="1"/>
  <c r="P105" i="1"/>
  <c r="Q105" i="1"/>
  <c r="R105" i="1"/>
  <c r="S105" i="1"/>
  <c r="T105" i="1"/>
  <c r="U105" i="1"/>
  <c r="V105" i="1"/>
  <c r="I106" i="1"/>
  <c r="H108" i="1"/>
  <c r="N108" i="1"/>
  <c r="O108" i="1"/>
  <c r="P108" i="1"/>
  <c r="Q108" i="1"/>
  <c r="R108" i="1"/>
  <c r="S108" i="1"/>
  <c r="T108" i="1"/>
  <c r="U108" i="1"/>
  <c r="V108" i="1"/>
  <c r="I109" i="1"/>
  <c r="I110" i="1"/>
  <c r="I111" i="1"/>
  <c r="H113" i="1"/>
  <c r="N113" i="1"/>
  <c r="O113" i="1"/>
  <c r="P113" i="1"/>
  <c r="Q113" i="1"/>
  <c r="R113" i="1"/>
  <c r="S113" i="1"/>
  <c r="T113" i="1"/>
  <c r="U113" i="1"/>
  <c r="V113" i="1"/>
  <c r="I114" i="1"/>
  <c r="I115" i="1"/>
  <c r="I116" i="1"/>
  <c r="I117" i="1"/>
  <c r="H119" i="1"/>
  <c r="N119" i="1"/>
  <c r="O119" i="1"/>
  <c r="P119" i="1"/>
  <c r="Q119" i="1"/>
  <c r="R119" i="1"/>
  <c r="S119" i="1"/>
  <c r="T119" i="1"/>
  <c r="U119" i="1"/>
  <c r="V119" i="1"/>
  <c r="I120" i="1"/>
  <c r="H122" i="1"/>
  <c r="N122" i="1"/>
  <c r="O122" i="1"/>
  <c r="P122" i="1"/>
  <c r="Q122" i="1"/>
  <c r="R122" i="1"/>
  <c r="S122" i="1"/>
  <c r="T122" i="1"/>
  <c r="U122" i="1"/>
  <c r="V122" i="1"/>
  <c r="I123" i="1"/>
  <c r="H125" i="1"/>
  <c r="N125" i="1"/>
  <c r="O125" i="1"/>
  <c r="P125" i="1"/>
  <c r="Q125" i="1"/>
  <c r="R125" i="1"/>
  <c r="S125" i="1"/>
  <c r="T125" i="1"/>
  <c r="U125" i="1"/>
  <c r="V125" i="1"/>
  <c r="I126" i="1"/>
  <c r="H128" i="1"/>
  <c r="N128" i="1"/>
  <c r="O128" i="1"/>
  <c r="P128" i="1"/>
  <c r="Q128" i="1"/>
  <c r="R128" i="1"/>
  <c r="S128" i="1"/>
  <c r="T128" i="1"/>
  <c r="U128" i="1"/>
  <c r="V128" i="1"/>
  <c r="I129" i="1"/>
  <c r="H132" i="1"/>
  <c r="U132" i="1"/>
  <c r="V132" i="1"/>
  <c r="I133" i="1"/>
  <c r="I134" i="1"/>
  <c r="N134" i="1"/>
  <c r="O134" i="1"/>
  <c r="P134" i="1"/>
  <c r="Q134" i="1"/>
  <c r="R134" i="1"/>
  <c r="S134" i="1"/>
  <c r="T134" i="1"/>
  <c r="U134" i="1"/>
  <c r="V134" i="1"/>
  <c r="Q135" i="1"/>
  <c r="R135" i="1"/>
  <c r="S135" i="1"/>
  <c r="H138" i="1"/>
  <c r="I135" i="1"/>
  <c r="N138" i="1"/>
  <c r="N135" i="1"/>
  <c r="O138" i="1"/>
  <c r="O135" i="1"/>
  <c r="P138" i="1"/>
  <c r="P135" i="1"/>
  <c r="Q138" i="1"/>
  <c r="R138" i="1"/>
  <c r="S138" i="1"/>
  <c r="T138" i="1"/>
  <c r="T135" i="1"/>
  <c r="U138" i="1"/>
  <c r="U135" i="1"/>
  <c r="V138" i="1"/>
  <c r="V135" i="1"/>
  <c r="I139" i="1"/>
  <c r="H141" i="1"/>
  <c r="N141" i="1"/>
  <c r="O141" i="1"/>
  <c r="P141" i="1"/>
  <c r="Q141" i="1"/>
  <c r="R141" i="1"/>
  <c r="S141" i="1"/>
  <c r="T141" i="1"/>
  <c r="U141" i="1"/>
  <c r="V141" i="1"/>
  <c r="I142" i="1"/>
  <c r="H144" i="1"/>
  <c r="N144" i="1"/>
  <c r="O144" i="1"/>
  <c r="P144" i="1"/>
  <c r="Q144" i="1"/>
  <c r="R144" i="1"/>
  <c r="S144" i="1"/>
  <c r="T144" i="1"/>
  <c r="U144" i="1"/>
  <c r="V144" i="1"/>
  <c r="I145" i="1"/>
  <c r="H147" i="1"/>
  <c r="N147" i="1"/>
  <c r="O147" i="1"/>
  <c r="P147" i="1"/>
  <c r="Q147" i="1"/>
  <c r="R147" i="1"/>
  <c r="S147" i="1"/>
  <c r="T147" i="1"/>
  <c r="U147" i="1"/>
  <c r="V147" i="1"/>
  <c r="I148" i="1"/>
  <c r="I149" i="1"/>
  <c r="I150" i="1"/>
  <c r="H152" i="1"/>
  <c r="N152" i="1"/>
  <c r="O152" i="1"/>
  <c r="P152" i="1"/>
  <c r="Q152" i="1"/>
  <c r="R152" i="1"/>
  <c r="S152" i="1"/>
  <c r="T152" i="1"/>
  <c r="U152" i="1"/>
  <c r="V152" i="1"/>
  <c r="I153" i="1"/>
  <c r="H155" i="1"/>
  <c r="N155" i="1"/>
  <c r="O155" i="1"/>
  <c r="P155" i="1"/>
  <c r="Q155" i="1"/>
  <c r="R155" i="1"/>
  <c r="S155" i="1"/>
  <c r="T155" i="1"/>
  <c r="U155" i="1"/>
  <c r="V155" i="1"/>
  <c r="I156" i="1"/>
  <c r="H158" i="1"/>
  <c r="N158" i="1"/>
  <c r="O158" i="1"/>
  <c r="P158" i="1"/>
  <c r="Q158" i="1"/>
  <c r="R158" i="1"/>
  <c r="S158" i="1"/>
  <c r="T158" i="1"/>
  <c r="U158" i="1"/>
  <c r="V158" i="1"/>
  <c r="I159" i="1"/>
  <c r="H161" i="1"/>
  <c r="N161" i="1"/>
  <c r="O161" i="1"/>
  <c r="P161" i="1"/>
  <c r="Q161" i="1"/>
  <c r="R161" i="1"/>
  <c r="S161" i="1"/>
  <c r="T161" i="1"/>
  <c r="U161" i="1"/>
  <c r="V161" i="1"/>
  <c r="I162" i="1"/>
  <c r="H165" i="1"/>
  <c r="N165" i="1"/>
  <c r="O165" i="1"/>
  <c r="P165" i="1"/>
  <c r="Q165" i="1"/>
  <c r="R165" i="1"/>
  <c r="S165" i="1"/>
  <c r="T165" i="1"/>
  <c r="U165" i="1"/>
  <c r="V165" i="1"/>
  <c r="I166" i="1"/>
  <c r="H168" i="1"/>
  <c r="S168" i="1"/>
  <c r="T168" i="1"/>
  <c r="N169" i="1"/>
  <c r="N168" i="1"/>
  <c r="O169" i="1"/>
  <c r="O168" i="1"/>
  <c r="P169" i="1"/>
  <c r="P168" i="1"/>
  <c r="Q169" i="1"/>
  <c r="Q168" i="1"/>
  <c r="R169" i="1"/>
  <c r="R168" i="1"/>
  <c r="S169" i="1"/>
  <c r="T169" i="1"/>
  <c r="U169" i="1"/>
  <c r="U168" i="1"/>
  <c r="V169" i="1"/>
  <c r="V168" i="1"/>
  <c r="H172" i="1"/>
  <c r="N172" i="1"/>
  <c r="O172" i="1"/>
  <c r="P172" i="1"/>
  <c r="Q172" i="1"/>
  <c r="R172" i="1"/>
  <c r="S172" i="1"/>
  <c r="T172" i="1"/>
  <c r="U172" i="1"/>
  <c r="V172" i="1"/>
  <c r="I173" i="1"/>
  <c r="H175" i="1"/>
  <c r="N175" i="1"/>
  <c r="O175" i="1"/>
  <c r="P175" i="1"/>
  <c r="Q175" i="1"/>
  <c r="R175" i="1"/>
  <c r="S175" i="1"/>
  <c r="T175" i="1"/>
  <c r="U175" i="1"/>
  <c r="V175" i="1"/>
  <c r="I176" i="1"/>
  <c r="H178" i="1"/>
  <c r="N178" i="1"/>
  <c r="O178" i="1"/>
  <c r="P178" i="1"/>
  <c r="Q178" i="1"/>
  <c r="R178" i="1"/>
  <c r="S178" i="1"/>
  <c r="T178" i="1"/>
  <c r="U178" i="1"/>
  <c r="V178" i="1"/>
  <c r="I179" i="1"/>
  <c r="H62" i="10"/>
  <c r="T62" i="10"/>
  <c r="T64" i="10"/>
  <c r="U62" i="10"/>
  <c r="U64" i="10"/>
  <c r="I63" i="10"/>
  <c r="H66" i="10"/>
  <c r="N66" i="10"/>
  <c r="N140" i="10"/>
  <c r="O66" i="10"/>
  <c r="O140" i="10"/>
  <c r="P66" i="10"/>
  <c r="P140" i="10"/>
  <c r="Q66" i="10"/>
  <c r="Q140" i="10"/>
  <c r="R66" i="10"/>
  <c r="R140" i="10"/>
  <c r="S66" i="10"/>
  <c r="T66" i="10"/>
  <c r="U66" i="10"/>
  <c r="I67" i="10"/>
  <c r="I68" i="10"/>
  <c r="H70" i="10"/>
  <c r="N70" i="10"/>
  <c r="N138" i="10"/>
  <c r="O70" i="10"/>
  <c r="O138" i="10"/>
  <c r="P70" i="10"/>
  <c r="P138" i="10"/>
  <c r="Q70" i="10"/>
  <c r="R70" i="10"/>
  <c r="S70" i="10"/>
  <c r="T70" i="10"/>
  <c r="U70" i="10"/>
  <c r="I71" i="10"/>
  <c r="I72" i="10"/>
  <c r="H74" i="10"/>
  <c r="N74" i="10"/>
  <c r="O74" i="10"/>
  <c r="P74" i="10"/>
  <c r="P137" i="10"/>
  <c r="Q74" i="10"/>
  <c r="Q137" i="10"/>
  <c r="R74" i="10"/>
  <c r="R137" i="10"/>
  <c r="S74" i="10"/>
  <c r="S137" i="10"/>
  <c r="T74" i="10"/>
  <c r="T137" i="10"/>
  <c r="U74" i="10"/>
  <c r="I75" i="10"/>
  <c r="I76" i="10"/>
  <c r="H78" i="10"/>
  <c r="N78" i="10"/>
  <c r="O78" i="10"/>
  <c r="P78" i="10"/>
  <c r="Q78" i="10"/>
  <c r="R78" i="10"/>
  <c r="S78" i="10"/>
  <c r="T78" i="10"/>
  <c r="U78" i="10"/>
  <c r="I79" i="10"/>
  <c r="I80" i="10"/>
  <c r="H83" i="10"/>
  <c r="T83" i="10"/>
  <c r="U83" i="10"/>
  <c r="I84" i="10"/>
  <c r="T85" i="10"/>
  <c r="U85" i="10"/>
  <c r="H87" i="10"/>
  <c r="N87" i="10"/>
  <c r="O87" i="10"/>
  <c r="P87" i="10"/>
  <c r="Q87" i="10"/>
  <c r="R87" i="10"/>
  <c r="S87" i="10"/>
  <c r="T87" i="10"/>
  <c r="U87" i="10"/>
  <c r="I88" i="10"/>
  <c r="H90" i="10"/>
  <c r="N90" i="10"/>
  <c r="O90" i="10"/>
  <c r="P90" i="10"/>
  <c r="Q90" i="10"/>
  <c r="R90" i="10"/>
  <c r="S90" i="10"/>
  <c r="T90" i="10"/>
  <c r="U90" i="10"/>
  <c r="I91" i="10"/>
  <c r="H93" i="10"/>
  <c r="N93" i="10"/>
  <c r="O93" i="10"/>
  <c r="P93" i="10"/>
  <c r="Q93" i="10"/>
  <c r="R93" i="10"/>
  <c r="S93" i="10"/>
  <c r="T93" i="10"/>
  <c r="U93" i="10"/>
  <c r="I94" i="10"/>
  <c r="H96" i="10"/>
  <c r="N96" i="10"/>
  <c r="N147" i="10"/>
  <c r="O96" i="10"/>
  <c r="O147" i="10"/>
  <c r="P96" i="10"/>
  <c r="P147" i="10"/>
  <c r="Q96" i="10"/>
  <c r="R96" i="10"/>
  <c r="S96" i="10"/>
  <c r="T96" i="10"/>
  <c r="U96" i="10"/>
  <c r="I97" i="10"/>
  <c r="I98" i="10"/>
  <c r="H100" i="10"/>
  <c r="N100" i="10"/>
  <c r="O100" i="10"/>
  <c r="P100" i="10"/>
  <c r="Q100" i="10"/>
  <c r="Q145" i="10"/>
  <c r="R100" i="10"/>
  <c r="R145" i="10"/>
  <c r="S100" i="10"/>
  <c r="S145" i="10"/>
  <c r="T100" i="10"/>
  <c r="U100" i="10"/>
  <c r="I101" i="10"/>
  <c r="I102" i="10"/>
  <c r="N104" i="10"/>
  <c r="O104" i="10"/>
  <c r="O146" i="10"/>
  <c r="P104" i="10"/>
  <c r="P146" i="10"/>
  <c r="Q104" i="10"/>
  <c r="Q146" i="10"/>
  <c r="R104" i="10"/>
  <c r="S104" i="10"/>
  <c r="T104" i="10"/>
  <c r="U104" i="10"/>
  <c r="I105" i="10"/>
  <c r="H104" i="10"/>
  <c r="N107" i="10"/>
  <c r="O107" i="10"/>
  <c r="P107" i="10"/>
  <c r="Q107" i="10"/>
  <c r="R107" i="10"/>
  <c r="S107" i="10"/>
  <c r="T107" i="10"/>
  <c r="U107" i="10"/>
  <c r="I108" i="10"/>
  <c r="H110" i="10"/>
  <c r="N110" i="10"/>
  <c r="O110" i="10"/>
  <c r="P110" i="10"/>
  <c r="Q110" i="10"/>
  <c r="R110" i="10"/>
  <c r="S110" i="10"/>
  <c r="T110" i="10"/>
  <c r="U110" i="10"/>
  <c r="I111" i="10"/>
  <c r="N114" i="10"/>
  <c r="N130" i="10"/>
  <c r="N129" i="10"/>
  <c r="O114" i="10"/>
  <c r="P114" i="10"/>
  <c r="Q114" i="10"/>
  <c r="R114" i="10"/>
  <c r="S114" i="10"/>
  <c r="T114" i="10"/>
  <c r="T130" i="10"/>
  <c r="T129" i="10"/>
  <c r="U114" i="10"/>
  <c r="U130" i="10"/>
  <c r="U129" i="10"/>
  <c r="I115" i="10"/>
  <c r="I116" i="10"/>
  <c r="N118" i="10"/>
  <c r="O118" i="10"/>
  <c r="O126" i="10"/>
  <c r="O125" i="10"/>
  <c r="P118" i="10"/>
  <c r="P126" i="10"/>
  <c r="P125" i="10"/>
  <c r="Q118" i="10"/>
  <c r="Q126" i="10"/>
  <c r="Q125" i="10"/>
  <c r="R118" i="10"/>
  <c r="R126" i="10"/>
  <c r="R125" i="10"/>
  <c r="S118" i="10"/>
  <c r="T118" i="10"/>
  <c r="U118" i="10"/>
  <c r="I119" i="10"/>
  <c r="N121" i="10"/>
  <c r="O121" i="10"/>
  <c r="P121" i="10"/>
  <c r="Q121" i="10"/>
  <c r="R121" i="10"/>
  <c r="S121" i="10"/>
  <c r="T121" i="10"/>
  <c r="U121" i="10"/>
  <c r="I122" i="10"/>
  <c r="H125" i="10"/>
  <c r="I126" i="10"/>
  <c r="N126" i="10"/>
  <c r="N125" i="10"/>
  <c r="S126" i="10"/>
  <c r="S125" i="10"/>
  <c r="T126" i="10"/>
  <c r="T125" i="10"/>
  <c r="U126" i="10"/>
  <c r="U125" i="10"/>
  <c r="I127" i="10"/>
  <c r="N127" i="10"/>
  <c r="O127" i="10"/>
  <c r="P127" i="10"/>
  <c r="Q127" i="10"/>
  <c r="R127" i="10"/>
  <c r="S127" i="10"/>
  <c r="T127" i="10"/>
  <c r="U127" i="10"/>
  <c r="H129" i="10"/>
  <c r="I130" i="10"/>
  <c r="O130" i="10"/>
  <c r="O129" i="10"/>
  <c r="P130" i="10"/>
  <c r="P129" i="10"/>
  <c r="Q130" i="10"/>
  <c r="Q129" i="10"/>
  <c r="R130" i="10"/>
  <c r="R129" i="10"/>
  <c r="S130" i="10"/>
  <c r="S129" i="10"/>
  <c r="I133" i="10"/>
  <c r="I134" i="10"/>
  <c r="I135" i="10"/>
  <c r="I139" i="10"/>
  <c r="I136" i="10"/>
  <c r="I140" i="10"/>
  <c r="I137" i="10"/>
  <c r="N137" i="10"/>
  <c r="O137" i="10"/>
  <c r="U137" i="10"/>
  <c r="I138" i="10"/>
  <c r="Q138" i="10"/>
  <c r="R138" i="10"/>
  <c r="S138" i="10"/>
  <c r="T138" i="10"/>
  <c r="U138" i="10"/>
  <c r="N139" i="10"/>
  <c r="O139" i="10"/>
  <c r="P139" i="10"/>
  <c r="Q139" i="10"/>
  <c r="R139" i="10"/>
  <c r="S139" i="10"/>
  <c r="T139" i="10"/>
  <c r="U139" i="10"/>
  <c r="S140" i="10"/>
  <c r="T140" i="10"/>
  <c r="U140" i="10"/>
  <c r="I142" i="10"/>
  <c r="I143" i="10"/>
  <c r="I144" i="10"/>
  <c r="I145" i="10"/>
  <c r="N145" i="10"/>
  <c r="O145" i="10"/>
  <c r="P145" i="10"/>
  <c r="T145" i="10"/>
  <c r="U145" i="10"/>
  <c r="I146" i="10"/>
  <c r="N146" i="10"/>
  <c r="R146" i="10"/>
  <c r="S146" i="10"/>
  <c r="T146" i="10"/>
  <c r="U146" i="10"/>
  <c r="I147" i="10"/>
  <c r="Q147" i="10"/>
  <c r="R147" i="10"/>
  <c r="S147" i="10"/>
  <c r="T147" i="10"/>
  <c r="U147" i="10"/>
  <c r="H149" i="10"/>
  <c r="T149" i="10"/>
  <c r="U149" i="10"/>
  <c r="I150" i="10"/>
  <c r="H51" i="14"/>
  <c r="T51" i="14"/>
  <c r="U51" i="14"/>
  <c r="I52" i="14"/>
  <c r="P53" i="14"/>
  <c r="Q53" i="14"/>
  <c r="R53" i="14"/>
  <c r="I55" i="14"/>
  <c r="N55" i="14"/>
  <c r="O55" i="14"/>
  <c r="P55" i="14"/>
  <c r="R55" i="14"/>
  <c r="U55" i="14"/>
  <c r="H58" i="14"/>
  <c r="N58" i="14"/>
  <c r="O58" i="14"/>
  <c r="P58" i="14"/>
  <c r="Q58" i="14"/>
  <c r="R58" i="14"/>
  <c r="S58" i="14"/>
  <c r="T58" i="14"/>
  <c r="U58" i="14"/>
  <c r="I59" i="14"/>
  <c r="H61" i="14"/>
  <c r="N61" i="14"/>
  <c r="O61" i="14"/>
  <c r="P61" i="14"/>
  <c r="Q61" i="14"/>
  <c r="R61" i="14"/>
  <c r="S61" i="14"/>
  <c r="T61" i="14"/>
  <c r="U61" i="14"/>
  <c r="I62" i="14"/>
  <c r="H64" i="14"/>
  <c r="R64" i="14"/>
  <c r="S64" i="14"/>
  <c r="U64" i="14"/>
  <c r="I65" i="14"/>
  <c r="I66" i="14"/>
  <c r="I54" i="14"/>
  <c r="N66" i="14"/>
  <c r="N64" i="14"/>
  <c r="O66" i="14"/>
  <c r="O64" i="14"/>
  <c r="P66" i="14"/>
  <c r="P54" i="14"/>
  <c r="Q66" i="14"/>
  <c r="Q64" i="14"/>
  <c r="R66" i="14"/>
  <c r="R54" i="14"/>
  <c r="S66" i="14"/>
  <c r="S54" i="14"/>
  <c r="T66" i="14"/>
  <c r="T64" i="14"/>
  <c r="U66" i="14"/>
  <c r="U54" i="14"/>
  <c r="H68" i="14"/>
  <c r="H69" i="14"/>
  <c r="H70" i="14"/>
  <c r="H71" i="14"/>
  <c r="H72" i="14"/>
  <c r="N72" i="14"/>
  <c r="O72" i="14"/>
  <c r="P72" i="14"/>
  <c r="Q72" i="14"/>
  <c r="R72" i="14"/>
  <c r="S72" i="14"/>
  <c r="T72" i="14"/>
  <c r="U72" i="14"/>
  <c r="H74" i="14"/>
  <c r="N74" i="14"/>
  <c r="R74" i="14"/>
  <c r="S74" i="14"/>
  <c r="U74" i="14"/>
  <c r="I75" i="14"/>
  <c r="I76" i="14"/>
  <c r="N76" i="14"/>
  <c r="O76" i="14"/>
  <c r="O74" i="14"/>
  <c r="P76" i="14"/>
  <c r="P74" i="14"/>
  <c r="Q76" i="14"/>
  <c r="Q74" i="14"/>
  <c r="R76" i="14"/>
  <c r="S76" i="14"/>
  <c r="T76" i="14"/>
  <c r="T74" i="14"/>
  <c r="U76" i="14"/>
  <c r="N78" i="14"/>
  <c r="O78" i="14"/>
  <c r="P78" i="14"/>
  <c r="Q78" i="14"/>
  <c r="Q55" i="14"/>
  <c r="R78" i="14"/>
  <c r="S78" i="14"/>
  <c r="S55" i="14"/>
  <c r="T78" i="14"/>
  <c r="T55" i="14"/>
  <c r="U78" i="14"/>
  <c r="I79" i="14"/>
  <c r="N81" i="14"/>
  <c r="N53" i="14"/>
  <c r="O81" i="14"/>
  <c r="O53" i="14"/>
  <c r="P81" i="14"/>
  <c r="Q81" i="14"/>
  <c r="R81" i="14"/>
  <c r="S81" i="14"/>
  <c r="S53" i="14"/>
  <c r="T81" i="14"/>
  <c r="T53" i="14"/>
  <c r="U81" i="14"/>
  <c r="U53" i="14"/>
  <c r="I82" i="14"/>
  <c r="H81" i="14"/>
  <c r="I53" i="14"/>
  <c r="H85" i="14"/>
  <c r="T85" i="14"/>
  <c r="U85" i="14"/>
  <c r="U88" i="14"/>
  <c r="I86" i="14"/>
  <c r="I87" i="14"/>
  <c r="N87" i="14"/>
  <c r="R87" i="14"/>
  <c r="S87" i="14"/>
  <c r="U87" i="14"/>
  <c r="H90" i="14"/>
  <c r="N90" i="14"/>
  <c r="O90" i="14"/>
  <c r="P90" i="14"/>
  <c r="Q90" i="14"/>
  <c r="R90" i="14"/>
  <c r="S90" i="14"/>
  <c r="T90" i="14"/>
  <c r="U90" i="14"/>
  <c r="I91" i="14"/>
  <c r="H93" i="14"/>
  <c r="N93" i="14"/>
  <c r="O93" i="14"/>
  <c r="P93" i="14"/>
  <c r="Q93" i="14"/>
  <c r="R93" i="14"/>
  <c r="S93" i="14"/>
  <c r="T93" i="14"/>
  <c r="U93" i="14"/>
  <c r="I94" i="14"/>
  <c r="H96" i="14"/>
  <c r="N96" i="14"/>
  <c r="O96" i="14"/>
  <c r="P96" i="14"/>
  <c r="Q96" i="14"/>
  <c r="R96" i="14"/>
  <c r="S96" i="14"/>
  <c r="T96" i="14"/>
  <c r="U96" i="14"/>
  <c r="I97" i="14"/>
  <c r="H99" i="14"/>
  <c r="N99" i="14"/>
  <c r="O99" i="14"/>
  <c r="P99" i="14"/>
  <c r="Q99" i="14"/>
  <c r="R99" i="14"/>
  <c r="S99" i="14"/>
  <c r="T99" i="14"/>
  <c r="U99" i="14"/>
  <c r="I100" i="14"/>
  <c r="H102" i="14"/>
  <c r="N102" i="14"/>
  <c r="O102" i="14"/>
  <c r="P102" i="14"/>
  <c r="Q102" i="14"/>
  <c r="R102" i="14"/>
  <c r="R113" i="14"/>
  <c r="R111" i="14"/>
  <c r="S102" i="14"/>
  <c r="T102" i="14"/>
  <c r="U102" i="14"/>
  <c r="I103" i="14"/>
  <c r="H105" i="14"/>
  <c r="N105" i="14"/>
  <c r="O105" i="14"/>
  <c r="P105" i="14"/>
  <c r="Q105" i="14"/>
  <c r="R105" i="14"/>
  <c r="S105" i="14"/>
  <c r="T105" i="14"/>
  <c r="U105" i="14"/>
  <c r="I106" i="14"/>
  <c r="H108" i="14"/>
  <c r="N108" i="14"/>
  <c r="O108" i="14"/>
  <c r="P108" i="14"/>
  <c r="Q108" i="14"/>
  <c r="R108" i="14"/>
  <c r="S108" i="14"/>
  <c r="T108" i="14"/>
  <c r="U108" i="14"/>
  <c r="I109" i="14"/>
  <c r="H111" i="14"/>
  <c r="I112" i="14"/>
  <c r="I113" i="14"/>
  <c r="N113" i="14"/>
  <c r="O113" i="14"/>
  <c r="P113" i="14"/>
  <c r="Q113" i="14"/>
  <c r="Q111" i="14"/>
  <c r="S113" i="14"/>
  <c r="T113" i="14"/>
  <c r="U113" i="14"/>
  <c r="U111" i="14"/>
  <c r="I114" i="14"/>
  <c r="O114" i="14"/>
  <c r="O111" i="14"/>
  <c r="Q114" i="14"/>
  <c r="N116" i="14"/>
  <c r="N114" i="14"/>
  <c r="N111" i="14"/>
  <c r="O116" i="14"/>
  <c r="O87" i="14"/>
  <c r="P116" i="14"/>
  <c r="P114" i="14"/>
  <c r="Q116" i="14"/>
  <c r="Q87" i="14"/>
  <c r="R116" i="14"/>
  <c r="R114" i="14"/>
  <c r="S116" i="14"/>
  <c r="S114" i="14"/>
  <c r="S111" i="14"/>
  <c r="T116" i="14"/>
  <c r="T87" i="14"/>
  <c r="U116" i="14"/>
  <c r="U114" i="14"/>
  <c r="I117" i="14"/>
  <c r="I118" i="14"/>
  <c r="I8" i="20"/>
  <c r="I9" i="20"/>
  <c r="I10" i="20"/>
  <c r="I11" i="20"/>
  <c r="I13" i="20"/>
  <c r="I14" i="20"/>
  <c r="I16" i="20"/>
  <c r="I17" i="20"/>
  <c r="I18" i="20"/>
  <c r="I20" i="20"/>
  <c r="I21" i="20"/>
  <c r="I22" i="20"/>
  <c r="I23" i="20"/>
  <c r="I25" i="20"/>
  <c r="I26" i="20"/>
  <c r="I27" i="20"/>
  <c r="I29" i="20"/>
  <c r="I30" i="20"/>
  <c r="I31" i="20"/>
  <c r="I32" i="20"/>
  <c r="H59" i="5"/>
  <c r="T59" i="5"/>
  <c r="T61" i="5"/>
  <c r="T58" i="5"/>
  <c r="U59" i="5"/>
  <c r="I60" i="5"/>
  <c r="U61" i="5"/>
  <c r="U58" i="5"/>
  <c r="H63" i="5"/>
  <c r="N63" i="5"/>
  <c r="O63" i="5"/>
  <c r="P63" i="5"/>
  <c r="Q63" i="5"/>
  <c r="R63" i="5"/>
  <c r="S63" i="5"/>
  <c r="T63" i="5"/>
  <c r="U63" i="5"/>
  <c r="I64" i="5"/>
  <c r="H66" i="5"/>
  <c r="N66" i="5"/>
  <c r="O66" i="5"/>
  <c r="P66" i="5"/>
  <c r="Q66" i="5"/>
  <c r="R66" i="5"/>
  <c r="S66" i="5"/>
  <c r="T66" i="5"/>
  <c r="U66" i="5"/>
  <c r="I67" i="5"/>
  <c r="H69" i="5"/>
  <c r="N69" i="5"/>
  <c r="O69" i="5"/>
  <c r="P69" i="5"/>
  <c r="Q69" i="5"/>
  <c r="R69" i="5"/>
  <c r="S69" i="5"/>
  <c r="T69" i="5"/>
  <c r="U69" i="5"/>
  <c r="I70" i="5"/>
  <c r="H72" i="5"/>
  <c r="N72" i="5"/>
  <c r="O72" i="5"/>
  <c r="P72" i="5"/>
  <c r="Q72" i="5"/>
  <c r="R72" i="5"/>
  <c r="S72" i="5"/>
  <c r="T72" i="5"/>
  <c r="U72" i="5"/>
  <c r="I73" i="5"/>
  <c r="H75" i="5"/>
  <c r="N75" i="5"/>
  <c r="O75" i="5"/>
  <c r="P75" i="5"/>
  <c r="Q75" i="5"/>
  <c r="R75" i="5"/>
  <c r="S75" i="5"/>
  <c r="T75" i="5"/>
  <c r="U75" i="5"/>
  <c r="I76" i="5"/>
  <c r="H78" i="5"/>
  <c r="N78" i="5"/>
  <c r="O78" i="5"/>
  <c r="P78" i="5"/>
  <c r="Q78" i="5"/>
  <c r="R78" i="5"/>
  <c r="S78" i="5"/>
  <c r="T78" i="5"/>
  <c r="U78" i="5"/>
  <c r="I79" i="5"/>
  <c r="H81" i="5"/>
  <c r="N81" i="5"/>
  <c r="O81" i="5"/>
  <c r="P81" i="5"/>
  <c r="Q81" i="5"/>
  <c r="R81" i="5"/>
  <c r="S81" i="5"/>
  <c r="T81" i="5"/>
  <c r="U81" i="5"/>
  <c r="I82" i="5"/>
  <c r="H84" i="5"/>
  <c r="N84" i="5"/>
  <c r="O84" i="5"/>
  <c r="P84" i="5"/>
  <c r="Q84" i="5"/>
  <c r="R84" i="5"/>
  <c r="S84" i="5"/>
  <c r="T84" i="5"/>
  <c r="U84" i="5"/>
  <c r="I85" i="5"/>
  <c r="H87" i="5"/>
  <c r="N87" i="5"/>
  <c r="O87" i="5"/>
  <c r="P87" i="5"/>
  <c r="Q87" i="5"/>
  <c r="R87" i="5"/>
  <c r="S87" i="5"/>
  <c r="T87" i="5"/>
  <c r="U87" i="5"/>
  <c r="I88" i="5"/>
  <c r="H91" i="5"/>
  <c r="T91" i="5"/>
  <c r="U91" i="5"/>
  <c r="I92" i="5"/>
  <c r="T93" i="5"/>
  <c r="U93" i="5"/>
  <c r="H95" i="5"/>
  <c r="N95" i="5"/>
  <c r="O95" i="5"/>
  <c r="P95" i="5"/>
  <c r="Q95" i="5"/>
  <c r="R95" i="5"/>
  <c r="S95" i="5"/>
  <c r="T95" i="5"/>
  <c r="U95" i="5"/>
  <c r="I96" i="5"/>
  <c r="H98" i="5"/>
  <c r="N98" i="5"/>
  <c r="O98" i="5"/>
  <c r="P98" i="5"/>
  <c r="Q98" i="5"/>
  <c r="R98" i="5"/>
  <c r="S98" i="5"/>
  <c r="T98" i="5"/>
  <c r="U98" i="5"/>
  <c r="H101" i="5"/>
  <c r="N101" i="5"/>
  <c r="O101" i="5"/>
  <c r="P101" i="5"/>
  <c r="Q101" i="5"/>
  <c r="R101" i="5"/>
  <c r="S101" i="5"/>
  <c r="T101" i="5"/>
  <c r="U101" i="5"/>
  <c r="I102" i="5"/>
  <c r="H104" i="5"/>
  <c r="N104" i="5"/>
  <c r="O104" i="5"/>
  <c r="P104" i="5"/>
  <c r="Q104" i="5"/>
  <c r="R104" i="5"/>
  <c r="S104" i="5"/>
  <c r="T104" i="5"/>
  <c r="U104" i="5"/>
  <c r="I105" i="5"/>
  <c r="H107" i="5"/>
  <c r="I125" i="5"/>
  <c r="N107" i="5"/>
  <c r="O107" i="5"/>
  <c r="P107" i="5"/>
  <c r="Q107" i="5"/>
  <c r="R107" i="5"/>
  <c r="S107" i="5"/>
  <c r="T107" i="5"/>
  <c r="T125" i="5"/>
  <c r="T123" i="5"/>
  <c r="U107" i="5"/>
  <c r="U125" i="5"/>
  <c r="U123" i="5"/>
  <c r="I108" i="5"/>
  <c r="H111" i="5"/>
  <c r="N111" i="5"/>
  <c r="O111" i="5"/>
  <c r="P111" i="5"/>
  <c r="Q111" i="5"/>
  <c r="R111" i="5"/>
  <c r="S111" i="5"/>
  <c r="T111" i="5"/>
  <c r="U111" i="5"/>
  <c r="I112" i="5"/>
  <c r="H114" i="5"/>
  <c r="N114" i="5"/>
  <c r="O114" i="5"/>
  <c r="P114" i="5"/>
  <c r="Q114" i="5"/>
  <c r="R114" i="5"/>
  <c r="S114" i="5"/>
  <c r="T114" i="5"/>
  <c r="U114" i="5"/>
  <c r="I115" i="5"/>
  <c r="H117" i="5"/>
  <c r="N117" i="5"/>
  <c r="O117" i="5"/>
  <c r="P117" i="5"/>
  <c r="Q117" i="5"/>
  <c r="R117" i="5"/>
  <c r="S117" i="5"/>
  <c r="T117" i="5"/>
  <c r="U117" i="5"/>
  <c r="I118" i="5"/>
  <c r="H120" i="5"/>
  <c r="N120" i="5"/>
  <c r="O120" i="5"/>
  <c r="P120" i="5"/>
  <c r="Q120" i="5"/>
  <c r="R120" i="5"/>
  <c r="S120" i="5"/>
  <c r="T120" i="5"/>
  <c r="U120" i="5"/>
  <c r="I121" i="5"/>
  <c r="H123" i="5"/>
  <c r="N123" i="5"/>
  <c r="O123" i="5"/>
  <c r="R123" i="5"/>
  <c r="S123" i="5"/>
  <c r="I124" i="5"/>
  <c r="N125" i="5"/>
  <c r="O125" i="5"/>
  <c r="P125" i="5"/>
  <c r="P123" i="5"/>
  <c r="Q125" i="5"/>
  <c r="Q123" i="5"/>
  <c r="R125" i="5"/>
  <c r="S125" i="5"/>
  <c r="H127" i="5"/>
  <c r="N127" i="5"/>
  <c r="O127" i="5"/>
  <c r="P127" i="5"/>
  <c r="Q127" i="5"/>
  <c r="R127" i="5"/>
  <c r="S127" i="5"/>
  <c r="T127" i="5"/>
  <c r="U127" i="5"/>
  <c r="I128" i="5"/>
  <c r="T130" i="5"/>
  <c r="U130" i="5"/>
  <c r="I131" i="5"/>
  <c r="T132" i="5"/>
  <c r="U132" i="5"/>
  <c r="T134" i="5"/>
  <c r="U134" i="5"/>
  <c r="I135" i="5"/>
  <c r="T136" i="5"/>
  <c r="U136" i="5"/>
  <c r="H138" i="5"/>
  <c r="N138" i="5"/>
  <c r="O138" i="5"/>
  <c r="P138" i="5"/>
  <c r="Q138" i="5"/>
  <c r="R138" i="5"/>
  <c r="S138" i="5"/>
  <c r="T138" i="5"/>
  <c r="U138" i="5"/>
  <c r="H139" i="5"/>
  <c r="H140" i="5"/>
  <c r="H141" i="5"/>
  <c r="N144" i="5"/>
  <c r="O144" i="5"/>
  <c r="P144" i="5"/>
  <c r="Q144" i="5"/>
  <c r="R144" i="5"/>
  <c r="S144" i="5"/>
  <c r="T144" i="5"/>
  <c r="U144" i="5"/>
  <c r="I145" i="5"/>
  <c r="N147" i="5"/>
  <c r="O147" i="5"/>
  <c r="P147" i="5"/>
  <c r="Q147" i="5"/>
  <c r="R147" i="5"/>
  <c r="S147" i="5"/>
  <c r="T147" i="5"/>
  <c r="U147" i="5"/>
  <c r="I148" i="5"/>
  <c r="N150" i="5"/>
  <c r="N160" i="5"/>
  <c r="O150" i="5"/>
  <c r="O160" i="5"/>
  <c r="P150" i="5"/>
  <c r="Q150" i="5"/>
  <c r="R150" i="5"/>
  <c r="S150" i="5"/>
  <c r="T150" i="5"/>
  <c r="U150" i="5"/>
  <c r="U160" i="5"/>
  <c r="U161" i="5"/>
  <c r="U162" i="5"/>
  <c r="I151" i="5"/>
  <c r="I152" i="5"/>
  <c r="T158" i="5"/>
  <c r="U158" i="5"/>
  <c r="T159" i="5"/>
  <c r="U159" i="5"/>
  <c r="P160" i="5"/>
  <c r="Q160" i="5"/>
  <c r="R160" i="5"/>
  <c r="S160" i="5"/>
  <c r="T160" i="5"/>
  <c r="T161" i="5"/>
  <c r="T162" i="5"/>
  <c r="N164" i="5"/>
  <c r="O164" i="5"/>
  <c r="P164" i="5"/>
  <c r="Q164" i="5"/>
  <c r="R164" i="5"/>
  <c r="S164" i="5"/>
  <c r="T164" i="5"/>
  <c r="U164" i="5"/>
  <c r="H165" i="5"/>
  <c r="H166" i="5"/>
  <c r="H70" i="8"/>
  <c r="T70" i="8"/>
  <c r="T72" i="8"/>
  <c r="T69" i="8"/>
  <c r="U70" i="8"/>
  <c r="U72" i="8"/>
  <c r="I71" i="8"/>
  <c r="H74" i="8"/>
  <c r="N74" i="8"/>
  <c r="O74" i="8"/>
  <c r="P74" i="8"/>
  <c r="Q74" i="8"/>
  <c r="R74" i="8"/>
  <c r="S74" i="8"/>
  <c r="T74" i="8"/>
  <c r="U74" i="8"/>
  <c r="I75" i="8"/>
  <c r="H77" i="8"/>
  <c r="N77" i="8"/>
  <c r="O77" i="8"/>
  <c r="P77" i="8"/>
  <c r="Q77" i="8"/>
  <c r="R77" i="8"/>
  <c r="S77" i="8"/>
  <c r="T77" i="8"/>
  <c r="U77" i="8"/>
  <c r="I78" i="8"/>
  <c r="I82" i="8"/>
  <c r="H80" i="8"/>
  <c r="N80" i="8"/>
  <c r="P80" i="8"/>
  <c r="Q80" i="8"/>
  <c r="U80" i="8"/>
  <c r="I81" i="8"/>
  <c r="N82" i="8"/>
  <c r="O82" i="8"/>
  <c r="O80" i="8"/>
  <c r="P82" i="8"/>
  <c r="Q82" i="8"/>
  <c r="R82" i="8"/>
  <c r="R80" i="8"/>
  <c r="S82" i="8"/>
  <c r="S80" i="8"/>
  <c r="T82" i="8"/>
  <c r="T80" i="8"/>
  <c r="U82" i="8"/>
  <c r="N84" i="8"/>
  <c r="O84" i="8"/>
  <c r="P84" i="8"/>
  <c r="Q84" i="8"/>
  <c r="R84" i="8"/>
  <c r="S84" i="8"/>
  <c r="T84" i="8"/>
  <c r="U84" i="8"/>
  <c r="I85" i="8"/>
  <c r="H84" i="8"/>
  <c r="N87" i="8"/>
  <c r="O87" i="8"/>
  <c r="P87" i="8"/>
  <c r="Q87" i="8"/>
  <c r="R87" i="8"/>
  <c r="S87" i="8"/>
  <c r="T87" i="8"/>
  <c r="U87" i="8"/>
  <c r="I88" i="8"/>
  <c r="H87" i="8"/>
  <c r="H90" i="8"/>
  <c r="N90" i="8"/>
  <c r="O90" i="8"/>
  <c r="P90" i="8"/>
  <c r="Q90" i="8"/>
  <c r="R90" i="8"/>
  <c r="S90" i="8"/>
  <c r="T90" i="8"/>
  <c r="U90" i="8"/>
  <c r="I91" i="8"/>
  <c r="H94" i="8"/>
  <c r="T94" i="8"/>
  <c r="U94" i="8"/>
  <c r="U96" i="8"/>
  <c r="I95" i="8"/>
  <c r="T96" i="8"/>
  <c r="H98" i="8"/>
  <c r="N98" i="8"/>
  <c r="O98" i="8"/>
  <c r="P98" i="8"/>
  <c r="Q98" i="8"/>
  <c r="R98" i="8"/>
  <c r="S98" i="8"/>
  <c r="T98" i="8"/>
  <c r="U98" i="8"/>
  <c r="I99" i="8"/>
  <c r="H101" i="8"/>
  <c r="N101" i="8"/>
  <c r="O101" i="8"/>
  <c r="P101" i="8"/>
  <c r="Q101" i="8"/>
  <c r="R101" i="8"/>
  <c r="S101" i="8"/>
  <c r="T101" i="8"/>
  <c r="U101" i="8"/>
  <c r="H104" i="8"/>
  <c r="N104" i="8"/>
  <c r="O104" i="8"/>
  <c r="P104" i="8"/>
  <c r="Q104" i="8"/>
  <c r="R104" i="8"/>
  <c r="S104" i="8"/>
  <c r="T104" i="8"/>
  <c r="U104" i="8"/>
  <c r="I105" i="8"/>
  <c r="H107" i="8"/>
  <c r="N107" i="8"/>
  <c r="O107" i="8"/>
  <c r="P107" i="8"/>
  <c r="Q107" i="8"/>
  <c r="R107" i="8"/>
  <c r="S107" i="8"/>
  <c r="T107" i="8"/>
  <c r="U107" i="8"/>
  <c r="I108" i="8"/>
  <c r="H110" i="8"/>
  <c r="N110" i="8"/>
  <c r="O110" i="8"/>
  <c r="P110" i="8"/>
  <c r="Q110" i="8"/>
  <c r="R110" i="8"/>
  <c r="S110" i="8"/>
  <c r="T110" i="8"/>
  <c r="U110" i="8"/>
  <c r="I111" i="8"/>
  <c r="H113" i="8"/>
  <c r="N113" i="8"/>
  <c r="O113" i="8"/>
  <c r="P113" i="8"/>
  <c r="Q113" i="8"/>
  <c r="R113" i="8"/>
  <c r="S113" i="8"/>
  <c r="T113" i="8"/>
  <c r="U113" i="8"/>
  <c r="I114" i="8"/>
  <c r="N116" i="8"/>
  <c r="O116" i="8"/>
  <c r="P116" i="8"/>
  <c r="Q116" i="8"/>
  <c r="R116" i="8"/>
  <c r="S116" i="8"/>
  <c r="T116" i="8"/>
  <c r="U116" i="8"/>
  <c r="I117" i="8"/>
  <c r="H116" i="8"/>
  <c r="H119" i="8"/>
  <c r="T119" i="8"/>
  <c r="U119" i="8"/>
  <c r="I120" i="8"/>
  <c r="T121" i="8"/>
  <c r="U121" i="8"/>
  <c r="H123" i="8"/>
  <c r="N123" i="8"/>
  <c r="O123" i="8"/>
  <c r="P123" i="8"/>
  <c r="Q123" i="8"/>
  <c r="R123" i="8"/>
  <c r="S123" i="8"/>
  <c r="T123" i="8"/>
  <c r="U123" i="8"/>
  <c r="I124" i="8"/>
  <c r="H126" i="8"/>
  <c r="N126" i="8"/>
  <c r="O126" i="8"/>
  <c r="P126" i="8"/>
  <c r="Q126" i="8"/>
  <c r="R126" i="8"/>
  <c r="S126" i="8"/>
  <c r="T126" i="8"/>
  <c r="U126" i="8"/>
  <c r="I127" i="8"/>
  <c r="H129" i="8"/>
  <c r="T129" i="8"/>
  <c r="U129" i="8"/>
  <c r="I130" i="8"/>
  <c r="BR70" i="18"/>
  <c r="BR50" i="18"/>
  <c r="U136" i="1"/>
  <c r="V136" i="1"/>
  <c r="V70" i="1"/>
  <c r="U70" i="1"/>
  <c r="T88" i="14"/>
  <c r="U56" i="14"/>
  <c r="U50" i="14"/>
  <c r="T56" i="14"/>
  <c r="T50" i="14"/>
  <c r="P111" i="14"/>
  <c r="Q54" i="14"/>
  <c r="P87" i="14"/>
  <c r="N54" i="14"/>
  <c r="O54" i="14"/>
  <c r="P64" i="14"/>
  <c r="T54" i="14"/>
  <c r="T114" i="14"/>
  <c r="T111" i="14"/>
  <c r="U69" i="8"/>
  <c r="Q16" i="14"/>
  <c r="T87" i="20"/>
  <c r="N83" i="20"/>
  <c r="Q8" i="10"/>
  <c r="T83" i="20"/>
  <c r="N81" i="20"/>
  <c r="U81" i="20"/>
  <c r="N80" i="20"/>
  <c r="P80" i="20"/>
  <c r="Q80" i="20"/>
  <c r="U78" i="20"/>
  <c r="T78" i="20"/>
  <c r="S80" i="20"/>
  <c r="T80" i="20"/>
  <c r="U80" i="20"/>
  <c r="S81" i="20"/>
  <c r="T81" i="20"/>
  <c r="S82" i="20"/>
  <c r="R7" i="5"/>
  <c r="P8" i="5"/>
  <c r="T56" i="20"/>
  <c r="R17" i="6"/>
  <c r="R29" i="6"/>
  <c r="R35" i="6"/>
  <c r="R41" i="6"/>
  <c r="S17" i="6"/>
  <c r="S29" i="6"/>
  <c r="S35" i="6"/>
  <c r="S41" i="6"/>
  <c r="N31" i="1"/>
  <c r="S7" i="1"/>
  <c r="T74" i="20"/>
  <c r="N8" i="10"/>
  <c r="N9" i="10"/>
  <c r="O8" i="10"/>
  <c r="P8" i="10"/>
  <c r="P9" i="10"/>
  <c r="P10" i="10"/>
  <c r="R8" i="10"/>
  <c r="R9" i="10"/>
  <c r="S9" i="10"/>
  <c r="S10" i="10"/>
  <c r="T151" i="10"/>
  <c r="T61" i="10"/>
  <c r="U151" i="10"/>
  <c r="U61" i="10"/>
  <c r="N26" i="5"/>
  <c r="N27" i="5"/>
  <c r="Q4" i="5"/>
  <c r="N4" i="5"/>
  <c r="N156" i="5"/>
  <c r="N12" i="5"/>
  <c r="O27" i="5"/>
  <c r="O28" i="5"/>
  <c r="O4" i="5"/>
  <c r="O156" i="5"/>
  <c r="P29" i="5"/>
  <c r="P30" i="5"/>
  <c r="P4" i="5"/>
  <c r="P156" i="5"/>
  <c r="Q37" i="5"/>
  <c r="R26" i="5"/>
  <c r="R27" i="5"/>
  <c r="R39" i="5"/>
  <c r="R4" i="5"/>
  <c r="R156" i="5"/>
  <c r="S28" i="5"/>
  <c r="S29" i="5"/>
  <c r="S4" i="5"/>
  <c r="S156" i="5"/>
  <c r="U4" i="5"/>
  <c r="T4" i="5"/>
  <c r="O17" i="6"/>
  <c r="O29" i="6"/>
  <c r="O35" i="6"/>
  <c r="O41" i="6"/>
  <c r="P17" i="6"/>
  <c r="P29" i="6"/>
  <c r="P35" i="6"/>
  <c r="P41" i="6"/>
  <c r="Q17" i="6"/>
  <c r="Q29" i="6"/>
  <c r="Q35" i="6"/>
  <c r="Q41" i="6"/>
  <c r="O4" i="6"/>
  <c r="O42" i="6"/>
  <c r="Q4" i="6"/>
  <c r="Q42" i="6"/>
  <c r="R4" i="6"/>
  <c r="R42" i="6"/>
  <c r="N18" i="1"/>
  <c r="C18" i="2"/>
  <c r="N34" i="1"/>
  <c r="N42" i="1"/>
  <c r="O10" i="1"/>
  <c r="O23" i="1"/>
  <c r="P12" i="1"/>
  <c r="P33" i="1"/>
  <c r="P41" i="1"/>
  <c r="Q35" i="1"/>
  <c r="R18" i="1"/>
  <c r="S23" i="1"/>
  <c r="T8" i="1"/>
  <c r="T20" i="1"/>
  <c r="Q42" i="14"/>
  <c r="Q23" i="6"/>
  <c r="R42" i="14"/>
  <c r="O16" i="8"/>
  <c r="P16" i="8"/>
  <c r="S16" i="8"/>
  <c r="BR4" i="18"/>
  <c r="D1" i="18"/>
  <c r="T49" i="1"/>
  <c r="O10" i="16"/>
  <c r="R78" i="21"/>
  <c r="O11" i="16"/>
  <c r="R79" i="21"/>
  <c r="O12" i="16"/>
  <c r="R80" i="21"/>
  <c r="O13" i="16"/>
  <c r="R81" i="21"/>
  <c r="O14" i="16"/>
  <c r="R82" i="21"/>
  <c r="O9" i="16"/>
  <c r="R77" i="21"/>
  <c r="R13" i="15"/>
  <c r="M78" i="21"/>
  <c r="R14" i="15"/>
  <c r="M79" i="21"/>
  <c r="R15" i="15"/>
  <c r="M80" i="21"/>
  <c r="R16" i="15"/>
  <c r="M81" i="21"/>
  <c r="R17" i="15"/>
  <c r="M82" i="21"/>
  <c r="R18" i="15"/>
  <c r="M83" i="21"/>
  <c r="R19" i="15"/>
  <c r="M84" i="21"/>
  <c r="R20" i="15"/>
  <c r="M85" i="21"/>
  <c r="R12" i="15"/>
  <c r="M77" i="21"/>
  <c r="P34" i="15"/>
  <c r="P35" i="15"/>
  <c r="P36" i="15"/>
  <c r="P37" i="15"/>
  <c r="P38" i="15"/>
  <c r="P39" i="15"/>
  <c r="P40" i="15"/>
  <c r="P41" i="15"/>
  <c r="P42" i="15"/>
  <c r="P43" i="15"/>
  <c r="P44" i="15"/>
  <c r="P45" i="15"/>
  <c r="P46" i="15"/>
  <c r="P47" i="15"/>
  <c r="P48" i="15"/>
  <c r="P49" i="15"/>
  <c r="P50" i="15"/>
  <c r="P51" i="15"/>
  <c r="P52" i="15"/>
  <c r="P53" i="15"/>
  <c r="Z92" i="20"/>
  <c r="O34" i="15"/>
  <c r="O35" i="15"/>
  <c r="O36" i="15"/>
  <c r="O37" i="15"/>
  <c r="O38" i="15"/>
  <c r="O39" i="15"/>
  <c r="O40" i="15"/>
  <c r="O41" i="15"/>
  <c r="O42" i="15"/>
  <c r="O43" i="15"/>
  <c r="O44" i="15"/>
  <c r="O45" i="15"/>
  <c r="O46" i="15"/>
  <c r="O47" i="15"/>
  <c r="O48" i="15"/>
  <c r="O49" i="15"/>
  <c r="O50" i="15"/>
  <c r="O51" i="15"/>
  <c r="O52" i="15"/>
  <c r="O53" i="15"/>
  <c r="Y92" i="20"/>
  <c r="Z91" i="20"/>
  <c r="Y91" i="20"/>
  <c r="U41" i="16"/>
  <c r="U42" i="16"/>
  <c r="U43" i="16"/>
  <c r="U44" i="16"/>
  <c r="U46" i="16"/>
  <c r="U47" i="16"/>
  <c r="Y104" i="20"/>
  <c r="N41" i="16"/>
  <c r="N42" i="16"/>
  <c r="N43" i="16"/>
  <c r="N46" i="16"/>
  <c r="N47" i="16"/>
  <c r="Y103" i="20"/>
  <c r="U31" i="16"/>
  <c r="U32" i="16"/>
  <c r="U35" i="16"/>
  <c r="U36" i="16"/>
  <c r="U37" i="16"/>
  <c r="Y102" i="20"/>
  <c r="N31" i="16"/>
  <c r="N32" i="16"/>
  <c r="N33" i="16"/>
  <c r="N34" i="16"/>
  <c r="N35" i="16"/>
  <c r="N37" i="16"/>
  <c r="Y101" i="20"/>
  <c r="U22" i="16"/>
  <c r="U23" i="16"/>
  <c r="U24" i="16"/>
  <c r="U25" i="16"/>
  <c r="U27" i="16"/>
  <c r="Y100" i="20"/>
  <c r="N21" i="16"/>
  <c r="N22" i="16"/>
  <c r="N23" i="16"/>
  <c r="N24" i="16"/>
  <c r="N25" i="16"/>
  <c r="N26" i="16"/>
  <c r="N27" i="16"/>
  <c r="Y99" i="20"/>
  <c r="H27" i="15"/>
  <c r="S27" i="15"/>
  <c r="S24" i="15"/>
  <c r="S25" i="15"/>
  <c r="S26" i="15"/>
  <c r="S28" i="15"/>
  <c r="R27" i="15"/>
  <c r="R24" i="15"/>
  <c r="R25" i="15"/>
  <c r="R26" i="15"/>
  <c r="R28" i="15"/>
  <c r="P27" i="15"/>
  <c r="P24" i="15"/>
  <c r="P25" i="15"/>
  <c r="P26" i="15"/>
  <c r="P28" i="15"/>
  <c r="O24" i="15"/>
  <c r="Q24" i="15"/>
  <c r="Q28" i="15"/>
  <c r="O27" i="15"/>
  <c r="O25" i="15"/>
  <c r="O26" i="15"/>
  <c r="O28" i="15"/>
  <c r="BQ54" i="18"/>
  <c r="BQ50" i="18"/>
  <c r="BQ71" i="18"/>
  <c r="BQ70" i="18"/>
  <c r="BQ4" i="18"/>
  <c r="T59" i="20"/>
  <c r="U59" i="20"/>
  <c r="T57" i="20"/>
  <c r="U57" i="20"/>
  <c r="BT72" i="18"/>
  <c r="BT60" i="18"/>
  <c r="BT51" i="18"/>
  <c r="BT55" i="18"/>
  <c r="BT33" i="18"/>
  <c r="BT28" i="18"/>
  <c r="BT26" i="18"/>
  <c r="BS72" i="18"/>
  <c r="BS60" i="18"/>
  <c r="BS51" i="18"/>
  <c r="BS55" i="18"/>
  <c r="BS33" i="18"/>
  <c r="BS26" i="18"/>
  <c r="BS28" i="18"/>
  <c r="BR72" i="18"/>
  <c r="BR60" i="18"/>
  <c r="BR51" i="18"/>
  <c r="BR55" i="18"/>
  <c r="BR33" i="18"/>
  <c r="BR26" i="18"/>
  <c r="BR28" i="18"/>
  <c r="AS5" i="2"/>
  <c r="BQ33" i="18"/>
  <c r="BQ26" i="18"/>
  <c r="BQ72" i="18"/>
  <c r="BQ60" i="18"/>
  <c r="BQ51" i="18"/>
  <c r="BQ55" i="18"/>
  <c r="BQ28" i="18"/>
  <c r="BP4" i="18"/>
  <c r="BP50" i="18"/>
  <c r="BP70" i="18"/>
  <c r="N45" i="16"/>
  <c r="O9" i="15"/>
  <c r="P9" i="15"/>
  <c r="R9" i="15"/>
  <c r="S9" i="15"/>
  <c r="O12" i="15"/>
  <c r="P12" i="15"/>
  <c r="Q12" i="15"/>
  <c r="S12" i="15"/>
  <c r="T12" i="15"/>
  <c r="U12" i="15"/>
  <c r="O13" i="15"/>
  <c r="P13" i="15"/>
  <c r="Q13" i="15"/>
  <c r="S13" i="15"/>
  <c r="T13" i="15"/>
  <c r="U13" i="15"/>
  <c r="O14" i="15"/>
  <c r="P14" i="15"/>
  <c r="Q14" i="15"/>
  <c r="S14" i="15"/>
  <c r="T14" i="15"/>
  <c r="U14" i="15"/>
  <c r="O15" i="15"/>
  <c r="P15" i="15"/>
  <c r="Q15" i="15"/>
  <c r="S15" i="15"/>
  <c r="T15" i="15"/>
  <c r="U15" i="15"/>
  <c r="O16" i="15"/>
  <c r="P16" i="15"/>
  <c r="Q16" i="15"/>
  <c r="S16" i="15"/>
  <c r="T16" i="15"/>
  <c r="U16" i="15"/>
  <c r="O17" i="15"/>
  <c r="P17" i="15"/>
  <c r="Q17" i="15"/>
  <c r="S17" i="15"/>
  <c r="T17" i="15"/>
  <c r="U17" i="15"/>
  <c r="O18" i="15"/>
  <c r="P18" i="15"/>
  <c r="Q18" i="15"/>
  <c r="S18" i="15"/>
  <c r="T18" i="15"/>
  <c r="U18" i="15"/>
  <c r="O19" i="15"/>
  <c r="P19" i="15"/>
  <c r="Q19" i="15"/>
  <c r="S19" i="15"/>
  <c r="T19" i="15"/>
  <c r="U19" i="15"/>
  <c r="O20" i="15"/>
  <c r="P20" i="15"/>
  <c r="Q20" i="15"/>
  <c r="S20" i="15"/>
  <c r="T20" i="15"/>
  <c r="U20" i="15"/>
  <c r="T21" i="15"/>
  <c r="U21" i="15"/>
  <c r="Q34" i="15"/>
  <c r="R34" i="15"/>
  <c r="S34" i="15"/>
  <c r="Q35" i="15"/>
  <c r="R35" i="15"/>
  <c r="S35" i="15"/>
  <c r="Q36" i="15"/>
  <c r="R36" i="15"/>
  <c r="S36" i="15"/>
  <c r="Q37" i="15"/>
  <c r="R37" i="15"/>
  <c r="S37" i="15"/>
  <c r="Q38" i="15"/>
  <c r="R38" i="15"/>
  <c r="S38" i="15"/>
  <c r="Q39" i="15"/>
  <c r="R39" i="15"/>
  <c r="S39" i="15"/>
  <c r="Q40" i="15"/>
  <c r="R40" i="15"/>
  <c r="S40" i="15"/>
  <c r="Q41" i="15"/>
  <c r="R41" i="15"/>
  <c r="S41" i="15"/>
  <c r="Q42" i="15"/>
  <c r="R42" i="15"/>
  <c r="S42" i="15"/>
  <c r="Q43" i="15"/>
  <c r="R43" i="15"/>
  <c r="S43" i="15"/>
  <c r="Q44" i="15"/>
  <c r="R44" i="15"/>
  <c r="S44" i="15"/>
  <c r="Q45" i="15"/>
  <c r="R45" i="15"/>
  <c r="S45" i="15"/>
  <c r="Q46" i="15"/>
  <c r="R46" i="15"/>
  <c r="S46" i="15"/>
  <c r="Q47" i="15"/>
  <c r="R47" i="15"/>
  <c r="S47" i="15"/>
  <c r="Q48" i="15"/>
  <c r="R48" i="15"/>
  <c r="S48" i="15"/>
  <c r="Q49" i="15"/>
  <c r="R49" i="15"/>
  <c r="S49" i="15"/>
  <c r="Q50" i="15"/>
  <c r="R50" i="15"/>
  <c r="S50" i="15"/>
  <c r="Q51" i="15"/>
  <c r="R51" i="15"/>
  <c r="S51" i="15"/>
  <c r="Q52" i="15"/>
  <c r="R52" i="15"/>
  <c r="S52" i="15"/>
  <c r="S21" i="15"/>
  <c r="R21" i="15"/>
  <c r="Q21" i="15"/>
  <c r="P21" i="15"/>
  <c r="R30" i="15"/>
  <c r="O21" i="15"/>
  <c r="P30" i="15"/>
  <c r="Q30" i="15"/>
  <c r="S30" i="15"/>
  <c r="S53" i="15"/>
  <c r="O30" i="15"/>
  <c r="Q53" i="15"/>
  <c r="R53" i="15"/>
  <c r="F70" i="21"/>
  <c r="E70" i="21"/>
  <c r="BO50" i="18"/>
  <c r="BO70" i="18"/>
  <c r="BO4" i="18"/>
  <c r="BN70" i="18"/>
  <c r="BN50" i="18"/>
  <c r="BN4" i="18"/>
  <c r="BL62" i="18"/>
  <c r="BJ62" i="18"/>
  <c r="BI62" i="18"/>
  <c r="BG62" i="18"/>
  <c r="BF62" i="18"/>
  <c r="BM4" i="18"/>
  <c r="BM70" i="18"/>
  <c r="BM50" i="18"/>
  <c r="BM9" i="18"/>
  <c r="A46" i="2"/>
  <c r="BO72" i="18"/>
  <c r="BN72" i="18"/>
  <c r="BM72" i="18"/>
  <c r="BP72" i="18"/>
  <c r="BP60" i="18"/>
  <c r="BO60" i="18"/>
  <c r="BN60" i="18"/>
  <c r="BM60" i="18"/>
  <c r="BP51" i="18"/>
  <c r="BP55" i="18"/>
  <c r="BO51" i="18"/>
  <c r="BO55" i="18"/>
  <c r="BN51" i="18"/>
  <c r="BN55" i="18"/>
  <c r="BM51" i="18"/>
  <c r="BM55" i="18"/>
  <c r="BP33" i="18"/>
  <c r="BO33" i="18"/>
  <c r="BN33" i="18"/>
  <c r="BM33" i="18"/>
  <c r="BP26" i="18"/>
  <c r="BP28" i="18"/>
  <c r="BO26" i="18"/>
  <c r="BO28" i="18"/>
  <c r="BN26" i="18"/>
  <c r="BN28" i="18"/>
  <c r="BM26" i="18"/>
  <c r="BM28" i="18"/>
  <c r="BL9" i="18"/>
  <c r="BL4" i="18"/>
  <c r="BL70" i="18"/>
  <c r="BL50" i="18"/>
  <c r="BK4" i="18"/>
  <c r="BL40" i="18"/>
  <c r="BK12" i="18"/>
  <c r="BI4" i="18"/>
  <c r="BI13" i="18"/>
  <c r="BI11" i="18"/>
  <c r="BI17" i="18"/>
  <c r="BI15" i="18"/>
  <c r="BE13" i="18"/>
  <c r="BE11" i="18"/>
  <c r="BE17" i="18"/>
  <c r="BE15" i="18"/>
  <c r="BK61" i="18"/>
  <c r="BK70" i="18"/>
  <c r="BK50" i="18"/>
  <c r="AK25" i="2"/>
  <c r="U66" i="20"/>
  <c r="U65" i="20"/>
  <c r="U50" i="20"/>
  <c r="G39" i="2"/>
  <c r="G40" i="2"/>
  <c r="G41" i="2"/>
  <c r="BJ4" i="18"/>
  <c r="T50" i="20"/>
  <c r="U68" i="20"/>
  <c r="U67" i="20"/>
  <c r="BI9" i="18"/>
  <c r="BJ50" i="18"/>
  <c r="T65" i="20"/>
  <c r="T67" i="20"/>
  <c r="T68" i="20"/>
  <c r="T66" i="20"/>
  <c r="AE28" i="2"/>
  <c r="AE27" i="2"/>
  <c r="G38" i="2"/>
  <c r="BI50" i="18"/>
  <c r="N4" i="1"/>
  <c r="Q43" i="14"/>
  <c r="P43" i="14"/>
  <c r="O43" i="14"/>
  <c r="N43" i="14"/>
  <c r="P42" i="14"/>
  <c r="P23" i="6"/>
  <c r="N42" i="14"/>
  <c r="N23" i="6"/>
  <c r="Q41" i="14"/>
  <c r="Q22" i="6"/>
  <c r="P41" i="14"/>
  <c r="O41" i="14"/>
  <c r="N41" i="14"/>
  <c r="N22" i="6"/>
  <c r="Q40" i="14"/>
  <c r="Q21" i="6"/>
  <c r="P40" i="14"/>
  <c r="P21" i="6"/>
  <c r="O40" i="14"/>
  <c r="N40" i="14"/>
  <c r="N17" i="6"/>
  <c r="N29" i="6"/>
  <c r="BI72" i="18"/>
  <c r="BJ72" i="18"/>
  <c r="BK72" i="18"/>
  <c r="BL72" i="18"/>
  <c r="BI60" i="18"/>
  <c r="BJ60" i="18"/>
  <c r="BK60" i="18"/>
  <c r="BL60" i="18"/>
  <c r="BI51" i="18"/>
  <c r="BI55" i="18"/>
  <c r="BJ51" i="18"/>
  <c r="BJ55" i="18"/>
  <c r="BK51" i="18"/>
  <c r="BK55" i="18"/>
  <c r="BL51" i="18"/>
  <c r="BL55" i="18"/>
  <c r="BI33" i="18"/>
  <c r="BJ33" i="18"/>
  <c r="BK33" i="18"/>
  <c r="BL33" i="18"/>
  <c r="BI26" i="18"/>
  <c r="BI28" i="18"/>
  <c r="BJ26" i="18"/>
  <c r="BJ28" i="18"/>
  <c r="BK26" i="18"/>
  <c r="BK28" i="18"/>
  <c r="BL26" i="18"/>
  <c r="BL28" i="18"/>
  <c r="O21" i="6"/>
  <c r="P22" i="6"/>
  <c r="O22" i="6"/>
  <c r="Q56" i="1"/>
  <c r="Q48" i="1"/>
  <c r="N35" i="6"/>
  <c r="N41" i="6"/>
  <c r="BH4" i="18"/>
  <c r="BH50" i="18"/>
  <c r="BG4" i="18"/>
  <c r="BG50" i="18"/>
  <c r="BF4" i="18"/>
  <c r="BF50" i="18"/>
  <c r="AK23" i="2"/>
  <c r="AK24" i="2"/>
  <c r="H18" i="15"/>
  <c r="BE4" i="18"/>
  <c r="BE50" i="18"/>
  <c r="U83" i="20"/>
  <c r="S83" i="20"/>
  <c r="R83" i="20"/>
  <c r="Q83" i="20"/>
  <c r="P83" i="20"/>
  <c r="O83" i="20"/>
  <c r="U82" i="20"/>
  <c r="T82" i="20"/>
  <c r="R82" i="20"/>
  <c r="Q82" i="20"/>
  <c r="P82" i="20"/>
  <c r="O82" i="20"/>
  <c r="N82" i="20"/>
  <c r="R81" i="20"/>
  <c r="Q81" i="20"/>
  <c r="P81" i="20"/>
  <c r="O81" i="20"/>
  <c r="R80" i="20"/>
  <c r="O80" i="20"/>
  <c r="S37" i="2"/>
  <c r="M24" i="2"/>
  <c r="G37" i="2"/>
  <c r="M23" i="2"/>
  <c r="AE26" i="2"/>
  <c r="G35" i="2"/>
  <c r="G36" i="2"/>
  <c r="AK22" i="2"/>
  <c r="AK20" i="2"/>
  <c r="AK21" i="2"/>
  <c r="AK19" i="2"/>
  <c r="AK16" i="2"/>
  <c r="AK17" i="2"/>
  <c r="AK18" i="2"/>
  <c r="AK15" i="2"/>
  <c r="AM13" i="2"/>
  <c r="AM14" i="2"/>
  <c r="AM15" i="2"/>
  <c r="AM16" i="2"/>
  <c r="AM17" i="2"/>
  <c r="AM18" i="2"/>
  <c r="AK7" i="2"/>
  <c r="AK8" i="2"/>
  <c r="AK9" i="2"/>
  <c r="AK10" i="2"/>
  <c r="AK11" i="2"/>
  <c r="AK12" i="2"/>
  <c r="AK13" i="2"/>
  <c r="AK14" i="2"/>
  <c r="AK6" i="2"/>
  <c r="AM5" i="2"/>
  <c r="AM6" i="2"/>
  <c r="AM7" i="2"/>
  <c r="AM8" i="2"/>
  <c r="AM9" i="2"/>
  <c r="AM10" i="2"/>
  <c r="AM11" i="2"/>
  <c r="AM12" i="2"/>
  <c r="AK5" i="2"/>
  <c r="U70" i="12"/>
  <c r="T70" i="12"/>
  <c r="S70" i="12"/>
  <c r="R70" i="12"/>
  <c r="Q70" i="12"/>
  <c r="P70" i="12"/>
  <c r="O70" i="12"/>
  <c r="N70" i="12"/>
  <c r="U41" i="9"/>
  <c r="T41" i="9"/>
  <c r="S41" i="9"/>
  <c r="R41" i="9"/>
  <c r="Q41" i="9"/>
  <c r="P41" i="9"/>
  <c r="O41" i="9"/>
  <c r="N41" i="9"/>
  <c r="U56" i="6"/>
  <c r="T56" i="6"/>
  <c r="S56" i="6"/>
  <c r="R56" i="6"/>
  <c r="Q56" i="6"/>
  <c r="P56" i="6"/>
  <c r="O56" i="6"/>
  <c r="N56" i="6"/>
  <c r="U71" i="4"/>
  <c r="T71" i="4"/>
  <c r="S71" i="4"/>
  <c r="R71" i="4"/>
  <c r="Q71" i="4"/>
  <c r="P71" i="4"/>
  <c r="O71" i="4"/>
  <c r="N71" i="4"/>
  <c r="F89" i="21"/>
  <c r="G89" i="21"/>
  <c r="H91" i="21"/>
  <c r="I91" i="21"/>
  <c r="E89" i="21"/>
  <c r="F88" i="21"/>
  <c r="G88" i="21"/>
  <c r="H90" i="21"/>
  <c r="I90" i="21"/>
  <c r="E88" i="21"/>
  <c r="E81" i="21"/>
  <c r="E3" i="21"/>
  <c r="W70" i="21" s="1"/>
  <c r="AC95" i="21"/>
  <c r="AB95" i="21"/>
  <c r="AC81" i="21"/>
  <c r="AB81" i="21"/>
  <c r="AC69" i="21"/>
  <c r="AB69" i="21"/>
  <c r="F62" i="21"/>
  <c r="E62" i="21"/>
  <c r="F53" i="21"/>
  <c r="E53" i="21"/>
  <c r="AC43" i="21"/>
  <c r="AB43" i="21"/>
  <c r="F47" i="21"/>
  <c r="E47" i="21"/>
  <c r="F40" i="21"/>
  <c r="E40" i="21"/>
  <c r="X35" i="21"/>
  <c r="W35" i="21"/>
  <c r="R37" i="21"/>
  <c r="Q37" i="21" s="1"/>
  <c r="P37" i="21" s="1"/>
  <c r="O37" i="21" s="1"/>
  <c r="M37" i="21"/>
  <c r="M41" i="21" s="1"/>
  <c r="F34" i="21"/>
  <c r="E34" i="21"/>
  <c r="M29" i="21"/>
  <c r="M30" i="21" s="1"/>
  <c r="F27" i="21"/>
  <c r="E27" i="21"/>
  <c r="X19" i="21"/>
  <c r="W19" i="21"/>
  <c r="F21" i="21"/>
  <c r="E21" i="21"/>
  <c r="F13" i="21"/>
  <c r="E13" i="21"/>
  <c r="AC6" i="21"/>
  <c r="AB6" i="21"/>
  <c r="X6" i="21"/>
  <c r="W6" i="21"/>
  <c r="F5" i="21"/>
  <c r="E5" i="21"/>
  <c r="M25" i="21" s="1"/>
  <c r="L3" i="21"/>
  <c r="L25" i="21" s="1"/>
  <c r="I3" i="21"/>
  <c r="X80" i="21" s="1"/>
  <c r="G3" i="21"/>
  <c r="F3" i="21"/>
  <c r="F16" i="21" s="1"/>
  <c r="H2" i="21"/>
  <c r="G2" i="21"/>
  <c r="F2" i="21"/>
  <c r="E2" i="21"/>
  <c r="BH72" i="18"/>
  <c r="BG72" i="18"/>
  <c r="BF72" i="18"/>
  <c r="BE72" i="18"/>
  <c r="BH60" i="18"/>
  <c r="BG60" i="18"/>
  <c r="BF60" i="18"/>
  <c r="BE60" i="18"/>
  <c r="BE51" i="18"/>
  <c r="BE55" i="18"/>
  <c r="BF51" i="18"/>
  <c r="BF55" i="18"/>
  <c r="BG51" i="18"/>
  <c r="BG55" i="18"/>
  <c r="BH51" i="18"/>
  <c r="BH55" i="18"/>
  <c r="BH33" i="18"/>
  <c r="BG33" i="18"/>
  <c r="BF33" i="18"/>
  <c r="BE33" i="18"/>
  <c r="BD33" i="18"/>
  <c r="BH26" i="18"/>
  <c r="BH28" i="18"/>
  <c r="BG26" i="18"/>
  <c r="BG28" i="18"/>
  <c r="BF26" i="18"/>
  <c r="BF28" i="18"/>
  <c r="BE26" i="18"/>
  <c r="BE28" i="18"/>
  <c r="Z2" i="18"/>
  <c r="I78" i="18"/>
  <c r="BD72" i="18"/>
  <c r="BC72" i="18"/>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AD72" i="18"/>
  <c r="AC72" i="18"/>
  <c r="AB72" i="18"/>
  <c r="AA72" i="18"/>
  <c r="Z72" i="18"/>
  <c r="Y72" i="18"/>
  <c r="X72" i="18"/>
  <c r="W72" i="18"/>
  <c r="V72" i="18"/>
  <c r="U72" i="18"/>
  <c r="T72" i="18"/>
  <c r="S72" i="18"/>
  <c r="R72" i="18"/>
  <c r="Q72" i="18"/>
  <c r="P70" i="18"/>
  <c r="P72" i="18"/>
  <c r="O70" i="18"/>
  <c r="O72" i="18"/>
  <c r="N70" i="18"/>
  <c r="N72" i="18"/>
  <c r="M70" i="18"/>
  <c r="M72" i="18"/>
  <c r="L70" i="18"/>
  <c r="I70" i="18"/>
  <c r="I72" i="18"/>
  <c r="H70" i="18"/>
  <c r="H72" i="18"/>
  <c r="L66" i="18"/>
  <c r="K66" i="18"/>
  <c r="K72" i="18"/>
  <c r="J66" i="18"/>
  <c r="J72" i="18"/>
  <c r="H64" i="18"/>
  <c r="BD60" i="18"/>
  <c r="BC60" i="18"/>
  <c r="BB60" i="18"/>
  <c r="BA60" i="18"/>
  <c r="AZ60" i="18"/>
  <c r="AY60" i="18"/>
  <c r="AX60" i="18"/>
  <c r="AW60" i="18"/>
  <c r="AV60" i="18"/>
  <c r="AU60" i="18"/>
  <c r="AT60" i="18"/>
  <c r="AS60" i="18"/>
  <c r="AR60" i="18"/>
  <c r="AQ60" i="18"/>
  <c r="AP60" i="18"/>
  <c r="AO60" i="18"/>
  <c r="AN60" i="18"/>
  <c r="AM60" i="18"/>
  <c r="AL60" i="18"/>
  <c r="AK60" i="18"/>
  <c r="AJ60" i="18"/>
  <c r="AI60" i="18"/>
  <c r="AH60" i="18"/>
  <c r="AG60" i="18"/>
  <c r="AF60" i="18"/>
  <c r="AE60" i="18"/>
  <c r="AD60" i="18"/>
  <c r="AC60" i="18"/>
  <c r="AB60" i="18"/>
  <c r="AA60" i="18"/>
  <c r="Z60" i="18"/>
  <c r="Y60" i="18"/>
  <c r="X60" i="18"/>
  <c r="W60" i="18"/>
  <c r="V60" i="18"/>
  <c r="U60" i="18"/>
  <c r="T60" i="18"/>
  <c r="S60" i="18"/>
  <c r="R60" i="18"/>
  <c r="Q60" i="18"/>
  <c r="P60" i="18"/>
  <c r="O60" i="18"/>
  <c r="N60" i="18"/>
  <c r="M60" i="18"/>
  <c r="L60" i="18"/>
  <c r="K60" i="18"/>
  <c r="J60" i="18"/>
  <c r="I60" i="18"/>
  <c r="H60" i="18"/>
  <c r="I57" i="18"/>
  <c r="AX51" i="18"/>
  <c r="AX55" i="18"/>
  <c r="BD50" i="18"/>
  <c r="BD51" i="18"/>
  <c r="BD55" i="18"/>
  <c r="BC50" i="18"/>
  <c r="BC51" i="18"/>
  <c r="BC55" i="18"/>
  <c r="BB50" i="18"/>
  <c r="BB51" i="18"/>
  <c r="BB55" i="18"/>
  <c r="BA50" i="18"/>
  <c r="BA51" i="18"/>
  <c r="BA55" i="18"/>
  <c r="AZ50" i="18"/>
  <c r="AZ51" i="18"/>
  <c r="AZ55" i="18"/>
  <c r="AY50" i="18"/>
  <c r="AY51" i="18"/>
  <c r="AY55" i="18"/>
  <c r="AW50" i="18"/>
  <c r="AW51" i="18"/>
  <c r="AW55" i="18"/>
  <c r="AV50" i="18"/>
  <c r="AV51" i="18"/>
  <c r="AV55" i="18"/>
  <c r="AU50" i="18"/>
  <c r="AU51" i="18"/>
  <c r="AU55" i="18"/>
  <c r="AT50" i="18"/>
  <c r="AT51" i="18"/>
  <c r="AT55" i="18"/>
  <c r="AS50" i="18"/>
  <c r="AS51" i="18"/>
  <c r="AS55" i="18"/>
  <c r="AR50" i="18"/>
  <c r="AR51" i="18"/>
  <c r="AR55" i="18"/>
  <c r="AQ50" i="18"/>
  <c r="AQ51" i="18"/>
  <c r="AQ55" i="18"/>
  <c r="AP50" i="18"/>
  <c r="AP51" i="18"/>
  <c r="AP55" i="18"/>
  <c r="AO50" i="18"/>
  <c r="AO51" i="18"/>
  <c r="AO55" i="18"/>
  <c r="AN50" i="18"/>
  <c r="AN51" i="18"/>
  <c r="AN55" i="18"/>
  <c r="AM50" i="18"/>
  <c r="AM51" i="18"/>
  <c r="AM55" i="18"/>
  <c r="AL50" i="18"/>
  <c r="AL51" i="18"/>
  <c r="AL55" i="18"/>
  <c r="AK50" i="18"/>
  <c r="AK51" i="18"/>
  <c r="AK55" i="18"/>
  <c r="AJ50" i="18"/>
  <c r="AJ51" i="18"/>
  <c r="AJ55" i="18"/>
  <c r="AI50" i="18"/>
  <c r="AI51" i="18"/>
  <c r="AI55" i="18"/>
  <c r="AH50" i="18"/>
  <c r="AH51" i="18"/>
  <c r="AH55" i="18"/>
  <c r="AG50" i="18"/>
  <c r="AG51" i="18"/>
  <c r="AG55" i="18"/>
  <c r="AF50" i="18"/>
  <c r="AF51" i="18"/>
  <c r="AF55" i="18"/>
  <c r="AE50" i="18"/>
  <c r="AE51" i="18"/>
  <c r="AE55" i="18"/>
  <c r="AD50" i="18"/>
  <c r="AD51" i="18"/>
  <c r="AD55" i="18"/>
  <c r="AC50" i="18"/>
  <c r="AC51" i="18"/>
  <c r="AC55" i="18"/>
  <c r="AB50" i="18"/>
  <c r="AB51" i="18"/>
  <c r="AB55" i="18"/>
  <c r="AA50" i="18"/>
  <c r="AA51" i="18"/>
  <c r="AA55" i="18"/>
  <c r="Z50" i="18"/>
  <c r="Z51" i="18"/>
  <c r="Z55" i="18"/>
  <c r="Y50" i="18"/>
  <c r="Y51" i="18"/>
  <c r="Y55" i="18"/>
  <c r="X50" i="18"/>
  <c r="X51" i="18"/>
  <c r="X55" i="18"/>
  <c r="W50" i="18"/>
  <c r="W51" i="18"/>
  <c r="W55" i="18"/>
  <c r="V50" i="18"/>
  <c r="V51" i="18"/>
  <c r="V55" i="18"/>
  <c r="U50" i="18"/>
  <c r="U51" i="18"/>
  <c r="U55" i="18"/>
  <c r="T50" i="18"/>
  <c r="T51" i="18"/>
  <c r="T55" i="18"/>
  <c r="S50" i="18"/>
  <c r="R50" i="18"/>
  <c r="Q50" i="18"/>
  <c r="P50" i="18"/>
  <c r="O50" i="18"/>
  <c r="N50" i="18"/>
  <c r="M50" i="18"/>
  <c r="L50" i="18"/>
  <c r="J50" i="18"/>
  <c r="J51" i="18"/>
  <c r="J55" i="18"/>
  <c r="I50" i="18"/>
  <c r="I51" i="18"/>
  <c r="I55" i="18"/>
  <c r="H50" i="18"/>
  <c r="H51" i="18"/>
  <c r="H55" i="18"/>
  <c r="O49" i="18"/>
  <c r="S47" i="18"/>
  <c r="R47" i="18"/>
  <c r="Q47" i="18"/>
  <c r="P47" i="18"/>
  <c r="O47" i="18"/>
  <c r="N47" i="18"/>
  <c r="M47" i="18"/>
  <c r="L47" i="18"/>
  <c r="K47" i="18"/>
  <c r="K51" i="18"/>
  <c r="K55" i="18"/>
  <c r="I39" i="18"/>
  <c r="I43" i="18"/>
  <c r="J39" i="18"/>
  <c r="J43" i="18"/>
  <c r="K39" i="18"/>
  <c r="K43" i="18"/>
  <c r="L39" i="18"/>
  <c r="L43" i="18"/>
  <c r="M39" i="18"/>
  <c r="M43" i="18"/>
  <c r="N39" i="18"/>
  <c r="N43" i="18"/>
  <c r="O39" i="18"/>
  <c r="O43" i="18"/>
  <c r="P39" i="18"/>
  <c r="P43" i="18"/>
  <c r="Q39" i="18"/>
  <c r="Q43" i="18"/>
  <c r="R39" i="18"/>
  <c r="R43" i="18"/>
  <c r="S39" i="18"/>
  <c r="S43" i="18"/>
  <c r="T39" i="18"/>
  <c r="T43" i="18"/>
  <c r="U39" i="18"/>
  <c r="U43" i="18"/>
  <c r="V39" i="18"/>
  <c r="V43" i="18"/>
  <c r="W39" i="18"/>
  <c r="W43" i="18"/>
  <c r="X39" i="18"/>
  <c r="X43" i="18"/>
  <c r="Y39" i="18"/>
  <c r="Y43" i="18"/>
  <c r="Z39" i="18"/>
  <c r="Z43" i="18"/>
  <c r="AA39" i="18"/>
  <c r="AA43" i="18"/>
  <c r="AB39" i="18"/>
  <c r="AB43" i="18"/>
  <c r="AC39" i="18"/>
  <c r="AC43" i="18"/>
  <c r="AD39" i="18"/>
  <c r="AD43" i="18"/>
  <c r="AE39" i="18"/>
  <c r="AE43" i="18"/>
  <c r="AF39" i="18"/>
  <c r="AF43" i="18"/>
  <c r="AG39" i="18"/>
  <c r="AG43" i="18"/>
  <c r="AH39" i="18"/>
  <c r="AH43" i="18"/>
  <c r="AI39" i="18"/>
  <c r="AI43" i="18"/>
  <c r="AJ39" i="18"/>
  <c r="AJ43" i="18"/>
  <c r="AK39" i="18"/>
  <c r="AK43" i="18"/>
  <c r="AL39" i="18"/>
  <c r="AL43" i="18"/>
  <c r="AM39" i="18"/>
  <c r="AM43" i="18"/>
  <c r="AN39" i="18"/>
  <c r="AN43" i="18"/>
  <c r="AO39" i="18"/>
  <c r="AO43" i="18"/>
  <c r="AP39" i="18"/>
  <c r="AP43" i="18"/>
  <c r="AQ39" i="18"/>
  <c r="AQ43" i="18"/>
  <c r="AR39" i="18"/>
  <c r="AR43" i="18"/>
  <c r="AS39" i="18"/>
  <c r="AS43" i="18"/>
  <c r="AT39" i="18"/>
  <c r="AT43" i="18"/>
  <c r="AU39" i="18"/>
  <c r="AU43" i="18"/>
  <c r="AV39" i="18"/>
  <c r="AV43" i="18"/>
  <c r="AW39" i="18"/>
  <c r="AW43" i="18"/>
  <c r="AX39" i="18"/>
  <c r="AX43" i="18"/>
  <c r="AY39" i="18"/>
  <c r="AY43" i="18"/>
  <c r="AZ39" i="18"/>
  <c r="AZ43" i="18"/>
  <c r="BA39" i="18"/>
  <c r="BA43" i="18"/>
  <c r="BB39" i="18"/>
  <c r="BB43" i="18"/>
  <c r="BC39" i="18"/>
  <c r="BC43" i="18"/>
  <c r="BD39" i="18"/>
  <c r="BD43" i="18"/>
  <c r="BE39" i="18"/>
  <c r="BE43" i="18"/>
  <c r="BF39" i="18"/>
  <c r="BF43" i="18"/>
  <c r="BG39" i="18"/>
  <c r="BG43" i="18"/>
  <c r="BH39" i="18"/>
  <c r="BH43" i="18"/>
  <c r="BI39" i="18"/>
  <c r="BI43" i="18"/>
  <c r="BJ39" i="18"/>
  <c r="BJ43" i="18"/>
  <c r="BK39" i="18"/>
  <c r="BK43" i="18"/>
  <c r="BL39" i="18"/>
  <c r="BL43" i="18"/>
  <c r="BM39" i="18"/>
  <c r="BM43" i="18"/>
  <c r="BN39" i="18"/>
  <c r="BN43" i="18"/>
  <c r="BO39" i="18"/>
  <c r="BO43" i="18"/>
  <c r="BP39" i="18"/>
  <c r="BP43" i="18"/>
  <c r="BC33" i="18"/>
  <c r="BB33" i="18"/>
  <c r="BA33" i="18"/>
  <c r="AZ33" i="18"/>
  <c r="AY33" i="18"/>
  <c r="AX33" i="18"/>
  <c r="AW33" i="18"/>
  <c r="AV33" i="18"/>
  <c r="AU33" i="18"/>
  <c r="AT33" i="18"/>
  <c r="AS33" i="18"/>
  <c r="AR33" i="18"/>
  <c r="AQ33" i="18"/>
  <c r="AP33" i="18"/>
  <c r="AO33" i="18"/>
  <c r="AN33" i="18"/>
  <c r="AM33" i="18"/>
  <c r="AL33" i="18"/>
  <c r="AK33" i="18"/>
  <c r="AJ33"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U27" i="18"/>
  <c r="I27" i="18"/>
  <c r="BD26" i="18"/>
  <c r="BD28" i="18"/>
  <c r="BC26" i="18"/>
  <c r="BC28" i="18"/>
  <c r="BB26" i="18"/>
  <c r="BB28" i="18"/>
  <c r="BA26" i="18"/>
  <c r="BA28" i="18"/>
  <c r="AZ26" i="18"/>
  <c r="AZ28" i="18"/>
  <c r="AY26" i="18"/>
  <c r="AY28" i="18"/>
  <c r="AX26" i="18"/>
  <c r="AX28" i="18"/>
  <c r="AW26" i="18"/>
  <c r="AW28" i="18"/>
  <c r="AV26" i="18"/>
  <c r="AV28" i="18"/>
  <c r="AU26" i="18"/>
  <c r="AU28" i="18"/>
  <c r="AT26" i="18"/>
  <c r="AT28" i="18"/>
  <c r="AS26" i="18"/>
  <c r="AS28" i="18"/>
  <c r="AR26" i="18"/>
  <c r="AR28" i="18"/>
  <c r="AQ26" i="18"/>
  <c r="AQ28" i="18"/>
  <c r="AP26" i="18"/>
  <c r="AP28" i="18"/>
  <c r="AO26" i="18"/>
  <c r="AO28" i="18"/>
  <c r="AN26" i="18"/>
  <c r="AN28" i="18"/>
  <c r="AM26" i="18"/>
  <c r="AM28" i="18"/>
  <c r="AL26" i="18"/>
  <c r="AL28" i="18"/>
  <c r="AK26" i="18"/>
  <c r="AK28" i="18"/>
  <c r="AJ26" i="18"/>
  <c r="AJ28" i="18"/>
  <c r="AI26" i="18"/>
  <c r="AI28" i="18"/>
  <c r="AH26" i="18"/>
  <c r="AH28" i="18"/>
  <c r="AG26" i="18"/>
  <c r="AG28" i="18"/>
  <c r="AF26" i="18"/>
  <c r="AF28" i="18"/>
  <c r="AE26" i="18"/>
  <c r="AE28" i="18"/>
  <c r="AD26" i="18"/>
  <c r="AD28" i="18"/>
  <c r="AC26" i="18"/>
  <c r="AC28" i="18"/>
  <c r="AB26" i="18"/>
  <c r="AB28" i="18"/>
  <c r="AA26" i="18"/>
  <c r="AA28" i="18"/>
  <c r="Z26" i="18"/>
  <c r="Z28" i="18"/>
  <c r="Y26" i="18"/>
  <c r="Y28" i="18"/>
  <c r="X26" i="18"/>
  <c r="X28" i="18"/>
  <c r="W26" i="18"/>
  <c r="W28" i="18"/>
  <c r="V26" i="18"/>
  <c r="V28" i="18"/>
  <c r="U26" i="18"/>
  <c r="T26" i="18"/>
  <c r="T28" i="18"/>
  <c r="S26" i="18"/>
  <c r="S28" i="18"/>
  <c r="R26" i="18"/>
  <c r="R28" i="18"/>
  <c r="Q26" i="18"/>
  <c r="Q28" i="18"/>
  <c r="P26" i="18"/>
  <c r="P28" i="18"/>
  <c r="O26" i="18"/>
  <c r="O28" i="18"/>
  <c r="N26" i="18"/>
  <c r="N28" i="18"/>
  <c r="M26" i="18"/>
  <c r="M28" i="18"/>
  <c r="L26" i="18"/>
  <c r="L28" i="18"/>
  <c r="K26" i="18"/>
  <c r="K28" i="18"/>
  <c r="J26" i="18"/>
  <c r="J28" i="18"/>
  <c r="I26" i="18"/>
  <c r="I28" i="18"/>
  <c r="BD4" i="18"/>
  <c r="BC4" i="18"/>
  <c r="BB4" i="18"/>
  <c r="BA4" i="18"/>
  <c r="AY4" i="18"/>
  <c r="AV4" i="18"/>
  <c r="AU4" i="18"/>
  <c r="AS4" i="18"/>
  <c r="AR4" i="18"/>
  <c r="AQ4" i="18"/>
  <c r="AP4" i="18"/>
  <c r="AO4" i="18"/>
  <c r="AN4" i="18"/>
  <c r="AM4" i="18"/>
  <c r="AL4" i="18"/>
  <c r="AK4" i="18"/>
  <c r="AJ4" i="18"/>
  <c r="AI4" i="18"/>
  <c r="AH4" i="18"/>
  <c r="AG4" i="18"/>
  <c r="AF4" i="18"/>
  <c r="AD4" i="18"/>
  <c r="AC4" i="18"/>
  <c r="AB4" i="18"/>
  <c r="AA4" i="18"/>
  <c r="Z4" i="18"/>
  <c r="Y4" i="18"/>
  <c r="V4" i="18"/>
  <c r="U4" i="18"/>
  <c r="R4" i="18"/>
  <c r="N9" i="16"/>
  <c r="V46" i="16"/>
  <c r="O46" i="16"/>
  <c r="V45" i="16"/>
  <c r="U45" i="16"/>
  <c r="O45" i="16"/>
  <c r="V44" i="16"/>
  <c r="O44" i="16"/>
  <c r="N44" i="16"/>
  <c r="V43" i="16"/>
  <c r="O43" i="16"/>
  <c r="V42" i="16"/>
  <c r="O42" i="16"/>
  <c r="V41" i="16"/>
  <c r="O41" i="16"/>
  <c r="V36" i="16"/>
  <c r="O36" i="16"/>
  <c r="N36" i="16"/>
  <c r="V35" i="16"/>
  <c r="O35" i="16"/>
  <c r="V34" i="16"/>
  <c r="U34" i="16"/>
  <c r="O34" i="16"/>
  <c r="V33" i="16"/>
  <c r="U33" i="16"/>
  <c r="O33" i="16"/>
  <c r="V32" i="16"/>
  <c r="O32" i="16"/>
  <c r="V31" i="16"/>
  <c r="O31" i="16"/>
  <c r="V26" i="16"/>
  <c r="U26" i="16"/>
  <c r="O26" i="16"/>
  <c r="V25" i="16"/>
  <c r="O25" i="16"/>
  <c r="V24" i="16"/>
  <c r="O24" i="16"/>
  <c r="V23" i="16"/>
  <c r="O23" i="16"/>
  <c r="V22" i="16"/>
  <c r="O22" i="16"/>
  <c r="O21" i="16"/>
  <c r="N14" i="16"/>
  <c r="E80" i="21"/>
  <c r="N13" i="16"/>
  <c r="N12" i="16"/>
  <c r="N11" i="16"/>
  <c r="N10" i="16"/>
  <c r="E79" i="21"/>
  <c r="E78" i="21"/>
  <c r="H12" i="15"/>
  <c r="H52" i="15"/>
  <c r="H51" i="15"/>
  <c r="H50" i="15"/>
  <c r="H49" i="15"/>
  <c r="H48" i="15"/>
  <c r="H47" i="15"/>
  <c r="H46" i="15"/>
  <c r="H45" i="15"/>
  <c r="H44" i="15"/>
  <c r="H43" i="15"/>
  <c r="H42" i="15"/>
  <c r="H41" i="15"/>
  <c r="H40" i="15"/>
  <c r="H39" i="15"/>
  <c r="H38" i="15"/>
  <c r="H37" i="15"/>
  <c r="H36" i="15"/>
  <c r="H35" i="15"/>
  <c r="H34" i="15"/>
  <c r="H26" i="15"/>
  <c r="H25" i="15"/>
  <c r="H24" i="15"/>
  <c r="H20" i="15"/>
  <c r="H19" i="15"/>
  <c r="H17" i="15"/>
  <c r="H16" i="15"/>
  <c r="H15" i="15"/>
  <c r="H14" i="15"/>
  <c r="H13" i="15"/>
  <c r="U43" i="14"/>
  <c r="T43" i="14"/>
  <c r="S43" i="14"/>
  <c r="R43" i="14"/>
  <c r="U40" i="14"/>
  <c r="U54" i="20"/>
  <c r="T40" i="14"/>
  <c r="T54" i="20"/>
  <c r="S40" i="14"/>
  <c r="S21" i="6"/>
  <c r="R40" i="14"/>
  <c r="R21" i="6"/>
  <c r="R41" i="14"/>
  <c r="R44" i="14"/>
  <c r="R24" i="6"/>
  <c r="S41" i="14"/>
  <c r="S22" i="6"/>
  <c r="T41" i="14"/>
  <c r="U41" i="14"/>
  <c r="AE25" i="2"/>
  <c r="AG18" i="2"/>
  <c r="AE24" i="2"/>
  <c r="AE23" i="2"/>
  <c r="BQ39" i="18"/>
  <c r="BQ43" i="18"/>
  <c r="BR39" i="18"/>
  <c r="BR43" i="18"/>
  <c r="BS39" i="18"/>
  <c r="BS43" i="18"/>
  <c r="BT39" i="18"/>
  <c r="BT43" i="18"/>
  <c r="L51" i="18"/>
  <c r="L55" i="18"/>
  <c r="N51" i="18"/>
  <c r="N55" i="18"/>
  <c r="P51" i="18"/>
  <c r="P55" i="18"/>
  <c r="Q51" i="18"/>
  <c r="Q55" i="18"/>
  <c r="R51" i="18"/>
  <c r="R55" i="18"/>
  <c r="S51" i="18"/>
  <c r="S55" i="18"/>
  <c r="M51" i="18"/>
  <c r="M55" i="18"/>
  <c r="O37" i="16"/>
  <c r="AA2" i="18"/>
  <c r="L72" i="18"/>
  <c r="U28" i="18"/>
  <c r="I63" i="18"/>
  <c r="J57" i="18"/>
  <c r="J63" i="18"/>
  <c r="O51" i="18"/>
  <c r="O55" i="18"/>
  <c r="V37" i="16"/>
  <c r="V47" i="16"/>
  <c r="O47" i="16"/>
  <c r="O15" i="16"/>
  <c r="O27" i="16"/>
  <c r="N15" i="16"/>
  <c r="V27" i="16"/>
  <c r="E83" i="21"/>
  <c r="E82" i="21"/>
  <c r="T42" i="14"/>
  <c r="U42" i="14"/>
  <c r="R23" i="6"/>
  <c r="AE22" i="2"/>
  <c r="AE21" i="2"/>
  <c r="AE19" i="2"/>
  <c r="AE20" i="2"/>
  <c r="AE5" i="2"/>
  <c r="AE6" i="2"/>
  <c r="AE7" i="2"/>
  <c r="AE8" i="2"/>
  <c r="AE9" i="2"/>
  <c r="AE10" i="2"/>
  <c r="AE11" i="2"/>
  <c r="AE12" i="2"/>
  <c r="AE13" i="2"/>
  <c r="AE14" i="2"/>
  <c r="AE15" i="2"/>
  <c r="AE16" i="2"/>
  <c r="AE17" i="2"/>
  <c r="AE18" i="2"/>
  <c r="AG5" i="2"/>
  <c r="AG6" i="2"/>
  <c r="AG7" i="2"/>
  <c r="AG8" i="2"/>
  <c r="AG9" i="2"/>
  <c r="S34" i="2"/>
  <c r="S35" i="2"/>
  <c r="S36" i="2"/>
  <c r="S30" i="2"/>
  <c r="S31" i="2"/>
  <c r="S32" i="2"/>
  <c r="S33" i="2"/>
  <c r="S29" i="2"/>
  <c r="S28" i="2"/>
  <c r="S27" i="2"/>
  <c r="S26" i="2"/>
  <c r="S25" i="2"/>
  <c r="S24" i="2"/>
  <c r="S23" i="2"/>
  <c r="S22" i="2"/>
  <c r="S21" i="2"/>
  <c r="AB2" i="18"/>
  <c r="I64" i="18"/>
  <c r="J64" i="18"/>
  <c r="K57" i="18"/>
  <c r="K63" i="18"/>
  <c r="E77" i="21"/>
  <c r="AG17" i="2"/>
  <c r="AG11" i="2"/>
  <c r="AC2" i="18"/>
  <c r="K64" i="18"/>
  <c r="L57" i="18"/>
  <c r="L63" i="18"/>
  <c r="AG16" i="2"/>
  <c r="AD2" i="18"/>
  <c r="M57" i="18"/>
  <c r="M63" i="18"/>
  <c r="L64" i="18"/>
  <c r="AE2" i="18"/>
  <c r="N57" i="18"/>
  <c r="N63" i="18"/>
  <c r="M64" i="18"/>
  <c r="AF2" i="18"/>
  <c r="N64" i="18"/>
  <c r="O57" i="18"/>
  <c r="O63" i="18"/>
  <c r="S19" i="2"/>
  <c r="S20" i="2"/>
  <c r="S18" i="2"/>
  <c r="S16" i="2"/>
  <c r="S17" i="2"/>
  <c r="S14" i="2"/>
  <c r="S15" i="2"/>
  <c r="S13" i="2"/>
  <c r="S11" i="2"/>
  <c r="S12" i="2"/>
  <c r="S9" i="2"/>
  <c r="S10" i="2"/>
  <c r="S8" i="2"/>
  <c r="S7" i="2"/>
  <c r="S6" i="2"/>
  <c r="S5" i="2"/>
  <c r="U13" i="2"/>
  <c r="U14" i="2"/>
  <c r="U15" i="2"/>
  <c r="U16" i="2"/>
  <c r="U17" i="2"/>
  <c r="U18" i="2"/>
  <c r="U5" i="2"/>
  <c r="M22" i="2"/>
  <c r="M21" i="2"/>
  <c r="M20" i="2"/>
  <c r="M19" i="2"/>
  <c r="M18" i="2"/>
  <c r="M17" i="2"/>
  <c r="M16" i="2"/>
  <c r="M15" i="2"/>
  <c r="M14" i="2"/>
  <c r="M13" i="2"/>
  <c r="M12" i="2"/>
  <c r="M11" i="2"/>
  <c r="M10" i="2"/>
  <c r="M9" i="2"/>
  <c r="M8" i="2"/>
  <c r="M7" i="2"/>
  <c r="M6" i="2"/>
  <c r="M5" i="2"/>
  <c r="O5" i="2"/>
  <c r="O6" i="2"/>
  <c r="O7" i="2"/>
  <c r="O8" i="2"/>
  <c r="O9" i="2"/>
  <c r="O10" i="2"/>
  <c r="O11" i="2"/>
  <c r="O12" i="2"/>
  <c r="O13" i="2"/>
  <c r="O14" i="2"/>
  <c r="O15" i="2"/>
  <c r="O16" i="2"/>
  <c r="O17" i="2"/>
  <c r="H20" i="4"/>
  <c r="G34" i="2"/>
  <c r="G31" i="2"/>
  <c r="G32" i="2"/>
  <c r="G33" i="2"/>
  <c r="G30" i="2"/>
  <c r="G29" i="2"/>
  <c r="G28" i="2"/>
  <c r="G27" i="2"/>
  <c r="G26" i="2"/>
  <c r="G25" i="2"/>
  <c r="G24" i="2"/>
  <c r="G23" i="2"/>
  <c r="G22" i="2"/>
  <c r="G20" i="2"/>
  <c r="G21" i="2"/>
  <c r="G19" i="2"/>
  <c r="G18" i="2"/>
  <c r="I17" i="2"/>
  <c r="C17" i="2"/>
  <c r="T91" i="20"/>
  <c r="T64" i="20"/>
  <c r="T88" i="20"/>
  <c r="P4" i="20"/>
  <c r="U4" i="20"/>
  <c r="T4" i="20"/>
  <c r="Q4" i="20"/>
  <c r="N4" i="20"/>
  <c r="O4" i="20"/>
  <c r="S4" i="20"/>
  <c r="AG2" i="18"/>
  <c r="O4" i="10"/>
  <c r="S4" i="10"/>
  <c r="N4" i="9"/>
  <c r="Q4" i="9"/>
  <c r="R4" i="9"/>
  <c r="R8" i="9"/>
  <c r="N4" i="8"/>
  <c r="N67" i="8"/>
  <c r="S3" i="19"/>
  <c r="N4" i="17"/>
  <c r="N21" i="17"/>
  <c r="N4" i="12"/>
  <c r="N11" i="12"/>
  <c r="N4" i="14"/>
  <c r="R4" i="8"/>
  <c r="W3" i="19"/>
  <c r="W30" i="19"/>
  <c r="R4" i="17"/>
  <c r="R21" i="17"/>
  <c r="R4" i="12"/>
  <c r="R28" i="12"/>
  <c r="R4" i="14"/>
  <c r="O4" i="8"/>
  <c r="T3" i="19"/>
  <c r="T24" i="19"/>
  <c r="O4" i="17"/>
  <c r="O21" i="17"/>
  <c r="O4" i="12"/>
  <c r="O4" i="14"/>
  <c r="O48" i="14"/>
  <c r="S4" i="8"/>
  <c r="S67" i="8"/>
  <c r="X3" i="19"/>
  <c r="X9" i="19"/>
  <c r="S4" i="17"/>
  <c r="S21" i="17"/>
  <c r="S4" i="12"/>
  <c r="S9" i="12"/>
  <c r="N4" i="10"/>
  <c r="R4" i="10"/>
  <c r="P4" i="8"/>
  <c r="U3" i="19"/>
  <c r="U15" i="19"/>
  <c r="P4" i="17"/>
  <c r="P21" i="17"/>
  <c r="P4" i="14"/>
  <c r="T4" i="8"/>
  <c r="Y3" i="19"/>
  <c r="T4" i="17"/>
  <c r="T21" i="17"/>
  <c r="T4" i="14"/>
  <c r="T48" i="14"/>
  <c r="T4" i="12"/>
  <c r="AB4" i="5"/>
  <c r="V3" i="19"/>
  <c r="Q4" i="17"/>
  <c r="Q21" i="17"/>
  <c r="Q4" i="14"/>
  <c r="AB4" i="14"/>
  <c r="Q4" i="12"/>
  <c r="AC4" i="5"/>
  <c r="Z3" i="19"/>
  <c r="U4" i="17"/>
  <c r="U21" i="17"/>
  <c r="U4" i="14"/>
  <c r="U4" i="12"/>
  <c r="O4" i="9"/>
  <c r="S4" i="9"/>
  <c r="P4" i="10"/>
  <c r="T4" i="10"/>
  <c r="P4" i="9"/>
  <c r="P14" i="9"/>
  <c r="Q4" i="10"/>
  <c r="AB4" i="10"/>
  <c r="U4" i="10"/>
  <c r="P57" i="18"/>
  <c r="P63" i="18"/>
  <c r="O64" i="18"/>
  <c r="O23" i="2"/>
  <c r="U6" i="2"/>
  <c r="U11" i="2"/>
  <c r="Q4" i="4"/>
  <c r="AB4" i="4"/>
  <c r="Q4" i="8"/>
  <c r="U4" i="4"/>
  <c r="U4" i="8"/>
  <c r="U67" i="8"/>
  <c r="N4" i="6"/>
  <c r="N4" i="4"/>
  <c r="R4" i="4"/>
  <c r="R25" i="4"/>
  <c r="T4" i="6"/>
  <c r="O4" i="4"/>
  <c r="S4" i="4"/>
  <c r="S21" i="4"/>
  <c r="U4" i="6"/>
  <c r="P4" i="4"/>
  <c r="P25" i="4"/>
  <c r="T4" i="4"/>
  <c r="T61" i="20"/>
  <c r="U60" i="20"/>
  <c r="U61" i="20"/>
  <c r="T60" i="20"/>
  <c r="S7" i="4"/>
  <c r="S20" i="4"/>
  <c r="S22" i="4"/>
  <c r="S15" i="4"/>
  <c r="S25" i="4"/>
  <c r="X24" i="19"/>
  <c r="S39" i="12"/>
  <c r="S43" i="12"/>
  <c r="S24" i="12"/>
  <c r="S10" i="12"/>
  <c r="S25" i="12"/>
  <c r="S29" i="12"/>
  <c r="S11" i="12"/>
  <c r="S51" i="12"/>
  <c r="S14" i="12"/>
  <c r="S34" i="12"/>
  <c r="S13" i="12"/>
  <c r="S49" i="12"/>
  <c r="U91" i="20"/>
  <c r="U88" i="20"/>
  <c r="O24" i="2"/>
  <c r="AH2" i="18"/>
  <c r="AC4" i="6"/>
  <c r="AC4" i="4"/>
  <c r="AB4" i="6"/>
  <c r="AC4" i="12"/>
  <c r="AB4" i="8"/>
  <c r="AC4" i="14"/>
  <c r="AC4" i="10"/>
  <c r="U64" i="20"/>
  <c r="Q57" i="18"/>
  <c r="Q63" i="18"/>
  <c r="P64" i="18"/>
  <c r="U7" i="2"/>
  <c r="U12" i="2"/>
  <c r="AC84" i="21"/>
  <c r="U77" i="20"/>
  <c r="U74" i="20"/>
  <c r="T71" i="20"/>
  <c r="U56" i="20"/>
  <c r="AI2" i="18"/>
  <c r="O25" i="2"/>
  <c r="R57" i="18"/>
  <c r="R63" i="18"/>
  <c r="Q64" i="18"/>
  <c r="U9" i="2"/>
  <c r="U10" i="2"/>
  <c r="AJ2" i="18"/>
  <c r="T51" i="20"/>
  <c r="U51" i="20"/>
  <c r="T72" i="20"/>
  <c r="U53" i="20"/>
  <c r="T53" i="20"/>
  <c r="T131" i="8"/>
  <c r="T73" i="20"/>
  <c r="T52" i="20"/>
  <c r="R64" i="18"/>
  <c r="S57" i="18"/>
  <c r="S63" i="18"/>
  <c r="G9" i="2"/>
  <c r="G10" i="2"/>
  <c r="G11" i="2"/>
  <c r="G12" i="2"/>
  <c r="G14" i="2"/>
  <c r="G15" i="2"/>
  <c r="G16" i="2"/>
  <c r="G17" i="2"/>
  <c r="G8" i="2"/>
  <c r="G13" i="2"/>
  <c r="G5" i="2"/>
  <c r="G7" i="2"/>
  <c r="G6" i="2"/>
  <c r="I13" i="2"/>
  <c r="I14" i="2"/>
  <c r="I15" i="2"/>
  <c r="I16" i="2"/>
  <c r="I5" i="2"/>
  <c r="I6" i="2"/>
  <c r="I11" i="2"/>
  <c r="I12" i="2"/>
  <c r="A45" i="2"/>
  <c r="A44" i="2"/>
  <c r="A43" i="2"/>
  <c r="A42" i="2"/>
  <c r="A41" i="2"/>
  <c r="AK2" i="18"/>
  <c r="T79" i="20"/>
  <c r="U79" i="20"/>
  <c r="U55" i="20"/>
  <c r="T55" i="20"/>
  <c r="U71" i="20"/>
  <c r="S64" i="18"/>
  <c r="T57" i="18"/>
  <c r="T63" i="18"/>
  <c r="S58" i="1"/>
  <c r="AL2" i="18"/>
  <c r="T41" i="20"/>
  <c r="U41" i="20"/>
  <c r="U131" i="8"/>
  <c r="U73" i="20"/>
  <c r="U52" i="20"/>
  <c r="U57" i="18"/>
  <c r="U63" i="18"/>
  <c r="T64" i="18"/>
  <c r="AM2" i="18"/>
  <c r="V57" i="18"/>
  <c r="V63" i="18"/>
  <c r="U64" i="18"/>
  <c r="AN2" i="18"/>
  <c r="V64" i="18"/>
  <c r="W57" i="18"/>
  <c r="W63" i="18"/>
  <c r="A40" i="2"/>
  <c r="A39" i="2"/>
  <c r="A38" i="2"/>
  <c r="A37" i="2"/>
  <c r="A36" i="2"/>
  <c r="A35" i="2"/>
  <c r="A34" i="2"/>
  <c r="A33" i="2"/>
  <c r="A32" i="2"/>
  <c r="A31" i="2"/>
  <c r="AO2" i="18"/>
  <c r="X57" i="18"/>
  <c r="X63" i="18"/>
  <c r="W64" i="18"/>
  <c r="A30" i="2"/>
  <c r="A29" i="2"/>
  <c r="A28" i="2"/>
  <c r="A27" i="2"/>
  <c r="A24" i="2"/>
  <c r="A25" i="2"/>
  <c r="A26" i="2"/>
  <c r="A22" i="2"/>
  <c r="A23" i="2"/>
  <c r="A21" i="2"/>
  <c r="A20" i="2"/>
  <c r="A19" i="2"/>
  <c r="V4" i="1"/>
  <c r="R4" i="1"/>
  <c r="A18" i="2"/>
  <c r="U4" i="1"/>
  <c r="T4" i="1"/>
  <c r="S4" i="1"/>
  <c r="Q4" i="1"/>
  <c r="P4" i="1"/>
  <c r="O4" i="1"/>
  <c r="A11" i="2"/>
  <c r="A12" i="2"/>
  <c r="A13" i="2"/>
  <c r="A14" i="2"/>
  <c r="A15" i="2"/>
  <c r="A16" i="2"/>
  <c r="A17" i="2"/>
  <c r="A10" i="2"/>
  <c r="A9" i="2"/>
  <c r="C16" i="2"/>
  <c r="A8" i="2"/>
  <c r="C15" i="2"/>
  <c r="C14" i="2"/>
  <c r="C13" i="2"/>
  <c r="A7" i="2"/>
  <c r="A6" i="2"/>
  <c r="A5" i="2"/>
  <c r="AP2" i="18"/>
  <c r="X64" i="18"/>
  <c r="Y57" i="18"/>
  <c r="Y63" i="18"/>
  <c r="C5" i="2"/>
  <c r="AQ2" i="18"/>
  <c r="Y64" i="18"/>
  <c r="Z57" i="18"/>
  <c r="Z63" i="18"/>
  <c r="C11" i="2"/>
  <c r="C12" i="2"/>
  <c r="C6" i="2"/>
  <c r="AR2" i="18"/>
  <c r="T37" i="20"/>
  <c r="U37" i="20"/>
  <c r="Z64" i="18"/>
  <c r="AA57" i="18"/>
  <c r="AA63" i="18"/>
  <c r="AS2" i="18"/>
  <c r="T40" i="20"/>
  <c r="U40" i="20"/>
  <c r="T38" i="20"/>
  <c r="U38" i="20"/>
  <c r="AB57" i="18"/>
  <c r="AB63" i="18"/>
  <c r="AA64" i="18"/>
  <c r="AT2" i="18"/>
  <c r="AB64" i="18"/>
  <c r="AC57" i="18"/>
  <c r="AC63" i="18"/>
  <c r="AU2" i="18"/>
  <c r="AD57" i="18"/>
  <c r="AD63" i="18"/>
  <c r="AC64" i="18"/>
  <c r="AV2" i="18"/>
  <c r="AD64" i="18"/>
  <c r="AE57" i="18"/>
  <c r="AE63" i="18"/>
  <c r="AW2" i="18"/>
  <c r="AE64" i="18"/>
  <c r="AF57" i="18"/>
  <c r="AF63" i="18"/>
  <c r="AX2" i="18"/>
  <c r="AF64" i="18"/>
  <c r="AG57" i="18"/>
  <c r="AG63" i="18"/>
  <c r="AY2" i="18"/>
  <c r="AH57" i="18"/>
  <c r="AH63" i="18"/>
  <c r="AG64" i="18"/>
  <c r="AZ2" i="18"/>
  <c r="AH64" i="18"/>
  <c r="AI57" i="18"/>
  <c r="AI63" i="18"/>
  <c r="BA2" i="18"/>
  <c r="AI64" i="18"/>
  <c r="AJ57" i="18"/>
  <c r="AJ63" i="18"/>
  <c r="BB2" i="18"/>
  <c r="AK57" i="18"/>
  <c r="AK63" i="18"/>
  <c r="AJ64" i="18"/>
  <c r="BC2" i="18"/>
  <c r="AL57" i="18"/>
  <c r="AL63" i="18"/>
  <c r="AK64" i="18"/>
  <c r="BD2" i="18"/>
  <c r="AL64" i="18"/>
  <c r="AM57" i="18"/>
  <c r="AM63" i="18"/>
  <c r="BE2" i="18"/>
  <c r="AM64" i="18"/>
  <c r="AN57" i="18"/>
  <c r="AN63" i="18"/>
  <c r="BF2" i="18"/>
  <c r="AO57" i="18"/>
  <c r="AO63" i="18"/>
  <c r="AN64" i="18"/>
  <c r="BG2" i="18"/>
  <c r="BH2" i="18"/>
  <c r="BI2" i="18"/>
  <c r="BJ2" i="18"/>
  <c r="BK2" i="18"/>
  <c r="AP57" i="18"/>
  <c r="AP63" i="18"/>
  <c r="AO64" i="18"/>
  <c r="BL2" i="18"/>
  <c r="BM2" i="18"/>
  <c r="BN2" i="18"/>
  <c r="BO2" i="18"/>
  <c r="BP2" i="18"/>
  <c r="AP64" i="18"/>
  <c r="AQ57" i="18"/>
  <c r="AQ63" i="18"/>
  <c r="BQ2" i="18"/>
  <c r="AQ64" i="18"/>
  <c r="AR57" i="18"/>
  <c r="AR63" i="18"/>
  <c r="BR2" i="18"/>
  <c r="BS2" i="18"/>
  <c r="BT2" i="18"/>
  <c r="X3" i="9"/>
  <c r="B1" i="17"/>
  <c r="B1" i="16"/>
  <c r="H1" i="16"/>
  <c r="B1" i="1"/>
  <c r="B3" i="25"/>
  <c r="X3" i="4"/>
  <c r="X3" i="17"/>
  <c r="X20" i="17"/>
  <c r="X3" i="6"/>
  <c r="B1" i="14"/>
  <c r="B1" i="5"/>
  <c r="X3" i="14"/>
  <c r="B1" i="4"/>
  <c r="B1" i="19"/>
  <c r="B1" i="10"/>
  <c r="X3" i="10"/>
  <c r="B1" i="9"/>
  <c r="B1" i="8"/>
  <c r="X3" i="5"/>
  <c r="A17" i="22"/>
  <c r="S30" i="19"/>
  <c r="W22" i="19"/>
  <c r="U30" i="19"/>
  <c r="Q23" i="9"/>
  <c r="O23" i="9"/>
  <c r="S34" i="19"/>
  <c r="N25" i="12"/>
  <c r="N51" i="12"/>
  <c r="N50" i="12"/>
  <c r="N21" i="9"/>
  <c r="N24" i="9"/>
  <c r="N9" i="12"/>
  <c r="N18" i="12"/>
  <c r="N36" i="12"/>
  <c r="T15" i="19"/>
  <c r="P17" i="9"/>
  <c r="R17" i="9"/>
  <c r="T21" i="19"/>
  <c r="Q51" i="12"/>
  <c r="S18" i="19"/>
  <c r="O8" i="9"/>
  <c r="T11" i="19"/>
  <c r="Q8" i="12"/>
  <c r="V18" i="19"/>
  <c r="Q36" i="12"/>
  <c r="N34" i="12"/>
  <c r="U18" i="19"/>
  <c r="V10" i="19"/>
  <c r="Q25" i="12"/>
  <c r="V11" i="19"/>
  <c r="W9" i="19"/>
  <c r="Q9" i="12"/>
  <c r="U10" i="19"/>
  <c r="O17" i="9"/>
  <c r="V36" i="19"/>
  <c r="T29" i="19"/>
  <c r="Q28" i="12"/>
  <c r="N39" i="12"/>
  <c r="N43" i="12"/>
  <c r="R23" i="9"/>
  <c r="T22" i="19"/>
  <c r="O7" i="9"/>
  <c r="S6" i="19"/>
  <c r="W23" i="19"/>
  <c r="V34" i="19"/>
  <c r="U9" i="19"/>
  <c r="N22" i="9"/>
  <c r="O22" i="9"/>
  <c r="S15" i="19"/>
  <c r="O21" i="9"/>
  <c r="W6" i="19"/>
  <c r="U11" i="19"/>
  <c r="Q35" i="12"/>
  <c r="Q42" i="12"/>
  <c r="P7" i="4"/>
  <c r="P20" i="4"/>
  <c r="Q13" i="12"/>
  <c r="N37" i="12"/>
  <c r="W11" i="19"/>
  <c r="O20" i="9"/>
  <c r="O24" i="9"/>
  <c r="N8" i="12"/>
  <c r="N12" i="12"/>
  <c r="N23" i="9"/>
  <c r="S9" i="19"/>
  <c r="N14" i="12"/>
  <c r="N49" i="12"/>
  <c r="W38" i="19"/>
  <c r="R20" i="9"/>
  <c r="V9" i="19"/>
  <c r="V12" i="19"/>
  <c r="N35" i="12"/>
  <c r="N42" i="12"/>
  <c r="W10" i="19"/>
  <c r="Q15" i="12"/>
  <c r="Q19" i="12"/>
  <c r="O13" i="9"/>
  <c r="N13" i="12"/>
  <c r="T10" i="19"/>
  <c r="W36" i="19"/>
  <c r="T36" i="19"/>
  <c r="S11" i="19"/>
  <c r="Q11" i="12"/>
  <c r="N17" i="9"/>
  <c r="P20" i="9"/>
  <c r="S23" i="19"/>
  <c r="V30" i="19"/>
  <c r="O9" i="9"/>
  <c r="R7" i="9"/>
  <c r="AC7" i="9"/>
  <c r="AF7" i="9"/>
  <c r="AG7" i="9"/>
  <c r="W34" i="19"/>
  <c r="V6" i="19"/>
  <c r="V38" i="19"/>
  <c r="N21" i="4"/>
  <c r="T18" i="19"/>
  <c r="O14" i="9"/>
  <c r="S10" i="19"/>
  <c r="S12" i="19"/>
  <c r="W29" i="19"/>
  <c r="T23" i="19"/>
  <c r="T30" i="19"/>
  <c r="T31" i="19"/>
  <c r="N13" i="9"/>
  <c r="N18" i="9"/>
  <c r="W21" i="19"/>
  <c r="O51" i="12"/>
  <c r="W15" i="19"/>
  <c r="Q49" i="12"/>
  <c r="Q50" i="12"/>
  <c r="N26" i="12"/>
  <c r="W18" i="19"/>
  <c r="Q13" i="9"/>
  <c r="Q10" i="12"/>
  <c r="V29" i="19"/>
  <c r="V31" i="19"/>
  <c r="V23" i="19"/>
  <c r="S38" i="19"/>
  <c r="N8" i="9"/>
  <c r="S24" i="19"/>
  <c r="W24" i="19"/>
  <c r="Q26" i="12"/>
  <c r="T6" i="19"/>
  <c r="N14" i="9"/>
  <c r="N10" i="12"/>
  <c r="N28" i="12"/>
  <c r="Q14" i="12"/>
  <c r="N38" i="12"/>
  <c r="U21" i="19"/>
  <c r="V21" i="19"/>
  <c r="N20" i="9"/>
  <c r="V24" i="19"/>
  <c r="S36" i="19"/>
  <c r="T38" i="19"/>
  <c r="V15" i="19"/>
  <c r="S21" i="19"/>
  <c r="V22" i="19"/>
  <c r="T34" i="19"/>
  <c r="Q34" i="12"/>
  <c r="S22" i="19"/>
  <c r="S29" i="19"/>
  <c r="S31" i="19"/>
  <c r="O49" i="12"/>
  <c r="O50" i="12"/>
  <c r="N7" i="9"/>
  <c r="AB7" i="9"/>
  <c r="N9" i="9"/>
  <c r="N7" i="4"/>
  <c r="N20" i="4"/>
  <c r="Q38" i="12"/>
  <c r="N29" i="12"/>
  <c r="T9" i="19"/>
  <c r="AR64" i="18"/>
  <c r="AS57" i="18"/>
  <c r="AS63" i="18"/>
  <c r="B1" i="15"/>
  <c r="O3" i="15"/>
  <c r="E76" i="21"/>
  <c r="X3" i="12"/>
  <c r="X3" i="8"/>
  <c r="B1" i="12"/>
  <c r="S71" i="12"/>
  <c r="A1" i="18"/>
  <c r="A1" i="4"/>
  <c r="B1" i="6"/>
  <c r="B1" i="20"/>
  <c r="N33" i="5"/>
  <c r="S59" i="10"/>
  <c r="O59" i="10"/>
  <c r="R59" i="10"/>
  <c r="P59" i="10"/>
  <c r="AB98" i="10"/>
  <c r="T59" i="10"/>
  <c r="AC71" i="10"/>
  <c r="U59" i="10"/>
  <c r="Q59" i="10"/>
  <c r="N59" i="10"/>
  <c r="Q71" i="12"/>
  <c r="U71" i="12"/>
  <c r="AB20" i="9"/>
  <c r="N35" i="17"/>
  <c r="T35" i="17"/>
  <c r="AB35" i="17"/>
  <c r="P48" i="14"/>
  <c r="U48" i="14"/>
  <c r="N48" i="14"/>
  <c r="R48" i="14"/>
  <c r="Q48" i="14"/>
  <c r="N42" i="9"/>
  <c r="O42" i="9"/>
  <c r="A1" i="8"/>
  <c r="A1" i="19"/>
  <c r="R3" i="19"/>
  <c r="R22" i="19"/>
  <c r="A1" i="1"/>
  <c r="A1" i="17"/>
  <c r="A1" i="20"/>
  <c r="A1" i="15"/>
  <c r="A1" i="14"/>
  <c r="A1" i="10"/>
  <c r="A1" i="9"/>
  <c r="O10" i="9"/>
  <c r="N72" i="4"/>
  <c r="O68" i="1"/>
  <c r="R72" i="4"/>
  <c r="U72" i="4"/>
  <c r="V68" i="1"/>
  <c r="P72" i="4"/>
  <c r="T72" i="4"/>
  <c r="U68" i="1"/>
  <c r="S72" i="4"/>
  <c r="T68" i="1"/>
  <c r="N15" i="4"/>
  <c r="P15" i="4"/>
  <c r="AC7" i="4"/>
  <c r="N30" i="4"/>
  <c r="N25" i="4"/>
  <c r="Q33" i="10"/>
  <c r="Q18" i="12"/>
  <c r="Q20" i="12"/>
  <c r="U57" i="6"/>
  <c r="N42" i="6"/>
  <c r="T57" i="6"/>
  <c r="W12" i="19"/>
  <c r="P67" i="8"/>
  <c r="O67" i="8"/>
  <c r="Q67" i="8"/>
  <c r="T67" i="8"/>
  <c r="R67" i="8"/>
  <c r="T12" i="19"/>
  <c r="P56" i="5"/>
  <c r="T56" i="5"/>
  <c r="U56" i="5"/>
  <c r="R56" i="5"/>
  <c r="N56" i="5"/>
  <c r="S56" i="5"/>
  <c r="Q56" i="5"/>
  <c r="O56" i="5"/>
  <c r="AT57" i="18"/>
  <c r="AT63" i="18"/>
  <c r="AS64" i="18"/>
  <c r="N71" i="12"/>
  <c r="Q57" i="6"/>
  <c r="O57" i="6"/>
  <c r="N57" i="6"/>
  <c r="T71" i="12"/>
  <c r="R57" i="6"/>
  <c r="A1" i="5"/>
  <c r="A1" i="6"/>
  <c r="A1" i="12"/>
  <c r="A1" i="16"/>
  <c r="X8" i="17"/>
  <c r="Y8" i="17"/>
  <c r="X28" i="5"/>
  <c r="Y28" i="5"/>
  <c r="AB68" i="10"/>
  <c r="AC20" i="4"/>
  <c r="R6" i="19"/>
  <c r="R21" i="19"/>
  <c r="T58" i="20"/>
  <c r="AB25" i="4"/>
  <c r="AB7" i="4"/>
  <c r="AB20" i="4"/>
  <c r="AB15" i="4"/>
  <c r="AB10" i="4"/>
  <c r="AB30" i="4"/>
  <c r="AT64" i="18"/>
  <c r="AU57" i="18"/>
  <c r="AU63" i="18"/>
  <c r="AF7" i="4"/>
  <c r="AG7" i="4"/>
  <c r="R15" i="4"/>
  <c r="T46" i="20"/>
  <c r="AC10" i="4"/>
  <c r="AF10" i="4"/>
  <c r="AG10" i="4"/>
  <c r="U58" i="20"/>
  <c r="AF20" i="4"/>
  <c r="AG20" i="4"/>
  <c r="AU64" i="18"/>
  <c r="AV57" i="18"/>
  <c r="AV63" i="18"/>
  <c r="T47" i="20"/>
  <c r="T43" i="20"/>
  <c r="T42" i="20"/>
  <c r="R30" i="4"/>
  <c r="U46" i="20"/>
  <c r="AV64" i="18"/>
  <c r="AW57" i="18"/>
  <c r="AW63" i="18"/>
  <c r="U43" i="20"/>
  <c r="U42" i="20"/>
  <c r="AC25" i="4"/>
  <c r="AF25" i="4"/>
  <c r="AG25" i="4"/>
  <c r="AX57" i="18"/>
  <c r="AX63" i="18"/>
  <c r="AW64" i="18"/>
  <c r="U47" i="20"/>
  <c r="AY57" i="18"/>
  <c r="AX64" i="18"/>
  <c r="AC15" i="4"/>
  <c r="AF15" i="4"/>
  <c r="AG15" i="4"/>
  <c r="AY63" i="18"/>
  <c r="AY64" i="18"/>
  <c r="AZ57" i="18"/>
  <c r="AC30" i="4"/>
  <c r="AF30" i="4"/>
  <c r="AG30" i="4"/>
  <c r="AZ63" i="18"/>
  <c r="BA57" i="18"/>
  <c r="AZ64" i="18"/>
  <c r="BA63" i="18"/>
  <c r="BA64" i="18"/>
  <c r="BB57" i="18"/>
  <c r="BB63" i="18"/>
  <c r="BB64" i="18"/>
  <c r="BC57" i="18"/>
  <c r="BC63" i="18"/>
  <c r="BC64" i="18"/>
  <c r="BD57" i="18"/>
  <c r="BD63" i="18"/>
  <c r="BD64" i="18"/>
  <c r="BE57" i="18"/>
  <c r="BE63" i="18"/>
  <c r="BE64" i="18"/>
  <c r="BF57" i="18"/>
  <c r="BF63" i="18"/>
  <c r="BF64" i="18"/>
  <c r="BG57" i="18"/>
  <c r="BG63" i="18"/>
  <c r="BH57" i="18"/>
  <c r="BG64" i="18"/>
  <c r="BH63" i="18"/>
  <c r="BH64" i="18"/>
  <c r="BI57" i="18"/>
  <c r="BI63" i="18"/>
  <c r="BJ57" i="18"/>
  <c r="BI64" i="18"/>
  <c r="BJ63" i="18"/>
  <c r="BK57" i="18"/>
  <c r="BJ64" i="18"/>
  <c r="BK63" i="18"/>
  <c r="BK64" i="18"/>
  <c r="BL57" i="18"/>
  <c r="BL63" i="18"/>
  <c r="BL64" i="18"/>
  <c r="BM57" i="18"/>
  <c r="N24" i="12"/>
  <c r="AB24" i="12"/>
  <c r="BM63" i="18"/>
  <c r="BM64" i="18"/>
  <c r="BN57" i="18"/>
  <c r="O24" i="12"/>
  <c r="BN63" i="18"/>
  <c r="BN64" i="18"/>
  <c r="BO57" i="18"/>
  <c r="BO63" i="18"/>
  <c r="BP57" i="18"/>
  <c r="Q24" i="12"/>
  <c r="BO64" i="18"/>
  <c r="BP63" i="18"/>
  <c r="BP64" i="18"/>
  <c r="BQ57" i="18"/>
  <c r="BQ63" i="18"/>
  <c r="BQ64" i="18"/>
  <c r="BR57" i="18"/>
  <c r="BR63" i="18"/>
  <c r="BR64" i="18"/>
  <c r="N7" i="8"/>
  <c r="N6" i="6"/>
  <c r="U44" i="14"/>
  <c r="U45" i="14"/>
  <c r="N44" i="14"/>
  <c r="N24" i="6"/>
  <c r="P44" i="14"/>
  <c r="P24" i="6"/>
  <c r="S33" i="10"/>
  <c r="S18" i="12"/>
  <c r="R8" i="12"/>
  <c r="R11" i="19"/>
  <c r="X7" i="17"/>
  <c r="Y7" i="17"/>
  <c r="X14" i="17"/>
  <c r="Y14" i="17"/>
  <c r="N15" i="9"/>
  <c r="Q30" i="4"/>
  <c r="Q72" i="4"/>
  <c r="R68" i="1"/>
  <c r="R25" i="12"/>
  <c r="R27" i="12"/>
  <c r="R29" i="12"/>
  <c r="R13" i="12"/>
  <c r="Q21" i="4"/>
  <c r="R26" i="12"/>
  <c r="X18" i="19"/>
  <c r="X11" i="19"/>
  <c r="X16" i="17"/>
  <c r="Y16" i="17"/>
  <c r="X21" i="19"/>
  <c r="X23" i="19"/>
  <c r="R38" i="12"/>
  <c r="U12" i="19"/>
  <c r="R14" i="12"/>
  <c r="O15" i="4"/>
  <c r="O72" i="4"/>
  <c r="P68" i="1"/>
  <c r="R9" i="12"/>
  <c r="Q12" i="12"/>
  <c r="R22" i="9"/>
  <c r="R39" i="12"/>
  <c r="R43" i="12"/>
  <c r="P7" i="9"/>
  <c r="U34" i="19"/>
  <c r="X38" i="19"/>
  <c r="X29" i="19"/>
  <c r="X10" i="17"/>
  <c r="Y10" i="17"/>
  <c r="R23" i="19"/>
  <c r="R25" i="19"/>
  <c r="R10" i="19"/>
  <c r="AC101" i="10"/>
  <c r="X29" i="17"/>
  <c r="X15" i="17"/>
  <c r="Y15" i="17"/>
  <c r="N33" i="10"/>
  <c r="Q25" i="4"/>
  <c r="R42" i="9"/>
  <c r="U38" i="19"/>
  <c r="R50" i="4"/>
  <c r="R51" i="12"/>
  <c r="O21" i="4"/>
  <c r="U22" i="19"/>
  <c r="R7" i="4"/>
  <c r="R20" i="4"/>
  <c r="R22" i="4"/>
  <c r="R36" i="12"/>
  <c r="AC36" i="12"/>
  <c r="R37" i="12"/>
  <c r="Q7" i="4"/>
  <c r="Q20" i="4"/>
  <c r="R35" i="12"/>
  <c r="R42" i="12"/>
  <c r="P9" i="9"/>
  <c r="AC4" i="8"/>
  <c r="S28" i="12"/>
  <c r="X30" i="19"/>
  <c r="R10" i="14"/>
  <c r="O25" i="4"/>
  <c r="X25" i="4"/>
  <c r="Y25" i="4"/>
  <c r="R18" i="19"/>
  <c r="R71" i="12"/>
  <c r="R10" i="4"/>
  <c r="R34" i="19"/>
  <c r="AC121" i="10"/>
  <c r="X6" i="17"/>
  <c r="Y6" i="17"/>
  <c r="X30" i="17"/>
  <c r="X13" i="17"/>
  <c r="Y13" i="17"/>
  <c r="Q10" i="4"/>
  <c r="R13" i="9"/>
  <c r="N10" i="9"/>
  <c r="P22" i="9"/>
  <c r="P13" i="9"/>
  <c r="R15" i="12"/>
  <c r="R19" i="12"/>
  <c r="U24" i="19"/>
  <c r="U29" i="19"/>
  <c r="U31" i="19"/>
  <c r="R21" i="4"/>
  <c r="AC21" i="4"/>
  <c r="U6" i="19"/>
  <c r="T25" i="19"/>
  <c r="N27" i="12"/>
  <c r="X15" i="19"/>
  <c r="X36" i="19"/>
  <c r="T4" i="9"/>
  <c r="T42" i="9"/>
  <c r="T156" i="5"/>
  <c r="AB8" i="10"/>
  <c r="R34" i="12"/>
  <c r="AC34" i="12"/>
  <c r="S68" i="1"/>
  <c r="R36" i="19"/>
  <c r="R29" i="19"/>
  <c r="R31" i="19"/>
  <c r="AC97" i="10"/>
  <c r="AB97" i="10"/>
  <c r="O30" i="4"/>
  <c r="Q15" i="4"/>
  <c r="N22" i="4"/>
  <c r="V25" i="19"/>
  <c r="O50" i="4"/>
  <c r="AB50" i="4"/>
  <c r="Q50" i="4"/>
  <c r="P21" i="9"/>
  <c r="P24" i="9"/>
  <c r="U23" i="19"/>
  <c r="R49" i="12"/>
  <c r="R10" i="12"/>
  <c r="N44" i="12"/>
  <c r="R9" i="9"/>
  <c r="R10" i="9"/>
  <c r="O7" i="4"/>
  <c r="O20" i="4"/>
  <c r="X20" i="4"/>
  <c r="Y20" i="4"/>
  <c r="S15" i="12"/>
  <c r="S19" i="12"/>
  <c r="S20" i="12"/>
  <c r="S37" i="12"/>
  <c r="X6" i="19"/>
  <c r="U4" i="9"/>
  <c r="R155" i="5"/>
  <c r="U156" i="5"/>
  <c r="AC9" i="10"/>
  <c r="R11" i="12"/>
  <c r="AC11" i="12"/>
  <c r="R24" i="19"/>
  <c r="X9" i="17"/>
  <c r="Y9" i="17"/>
  <c r="R38" i="19"/>
  <c r="Q3" i="19"/>
  <c r="X27" i="17"/>
  <c r="X25" i="17"/>
  <c r="R9" i="19"/>
  <c r="R12" i="19"/>
  <c r="R24" i="12"/>
  <c r="AC24" i="12"/>
  <c r="AF24" i="12"/>
  <c r="AG24" i="12"/>
  <c r="R30" i="19"/>
  <c r="X15" i="4"/>
  <c r="Y15" i="4"/>
  <c r="X26" i="17"/>
  <c r="R15" i="19"/>
  <c r="X24" i="17"/>
  <c r="O10" i="4"/>
  <c r="P42" i="9"/>
  <c r="U36" i="19"/>
  <c r="P8" i="9"/>
  <c r="W31" i="19"/>
  <c r="P23" i="9"/>
  <c r="O18" i="9"/>
  <c r="S36" i="12"/>
  <c r="Q156" i="5"/>
  <c r="N155" i="5"/>
  <c r="R40" i="12"/>
  <c r="R46" i="12"/>
  <c r="AC39" i="12"/>
  <c r="R44" i="12"/>
  <c r="X34" i="19"/>
  <c r="AC29" i="12"/>
  <c r="Q27" i="12"/>
  <c r="N31" i="12"/>
  <c r="Q31" i="12"/>
  <c r="N30" i="12"/>
  <c r="BS57" i="18"/>
  <c r="BS63" i="18"/>
  <c r="U87" i="20"/>
  <c r="N10" i="14"/>
  <c r="AG10" i="2"/>
  <c r="U86" i="20"/>
  <c r="O21" i="14"/>
  <c r="P8" i="14"/>
  <c r="P20" i="14"/>
  <c r="Q7" i="14"/>
  <c r="Q27" i="14"/>
  <c r="R15" i="14"/>
  <c r="R26" i="14"/>
  <c r="S15" i="14"/>
  <c r="AG15" i="2"/>
  <c r="S26" i="14"/>
  <c r="O22" i="14"/>
  <c r="R16" i="14"/>
  <c r="S16" i="14"/>
  <c r="N22" i="14"/>
  <c r="AB22" i="14"/>
  <c r="O8" i="14"/>
  <c r="P21" i="14"/>
  <c r="Q8" i="14"/>
  <c r="Q20" i="14"/>
  <c r="R7" i="14"/>
  <c r="N23" i="14"/>
  <c r="O12" i="14"/>
  <c r="O23" i="14"/>
  <c r="P10" i="14"/>
  <c r="P22" i="14"/>
  <c r="Q21" i="14"/>
  <c r="R8" i="14"/>
  <c r="R20" i="14"/>
  <c r="S7" i="14"/>
  <c r="S20" i="14"/>
  <c r="N24" i="14"/>
  <c r="N12" i="14"/>
  <c r="O13" i="14"/>
  <c r="O24" i="14"/>
  <c r="P12" i="14"/>
  <c r="AG12" i="2"/>
  <c r="P23" i="14"/>
  <c r="Q22" i="14"/>
  <c r="R21" i="14"/>
  <c r="S8" i="14"/>
  <c r="S21" i="14"/>
  <c r="N25" i="14"/>
  <c r="N13" i="14"/>
  <c r="O14" i="14"/>
  <c r="O25" i="14"/>
  <c r="AB25" i="14"/>
  <c r="P13" i="14"/>
  <c r="P24" i="14"/>
  <c r="Q12" i="14"/>
  <c r="Q23" i="14"/>
  <c r="R22" i="14"/>
  <c r="S22" i="14"/>
  <c r="S27" i="14"/>
  <c r="N20" i="14"/>
  <c r="N7" i="14"/>
  <c r="O20" i="14"/>
  <c r="P7" i="14"/>
  <c r="P9" i="14"/>
  <c r="P16" i="14"/>
  <c r="P27" i="14"/>
  <c r="Q15" i="14"/>
  <c r="Q26" i="14"/>
  <c r="R14" i="14"/>
  <c r="AG14" i="2"/>
  <c r="R25" i="14"/>
  <c r="S14" i="14"/>
  <c r="S25" i="14"/>
  <c r="N21" i="14"/>
  <c r="AB21" i="14"/>
  <c r="N16" i="14"/>
  <c r="R27" i="14"/>
  <c r="Q10" i="14"/>
  <c r="Q44" i="14"/>
  <c r="Q24" i="6"/>
  <c r="S24" i="14"/>
  <c r="S13" i="14"/>
  <c r="R24" i="14"/>
  <c r="R13" i="14"/>
  <c r="Q25" i="14"/>
  <c r="Q14" i="14"/>
  <c r="P26" i="14"/>
  <c r="P15" i="14"/>
  <c r="O27" i="14"/>
  <c r="O16" i="14"/>
  <c r="N15" i="14"/>
  <c r="N21" i="6"/>
  <c r="S23" i="14"/>
  <c r="S12" i="14"/>
  <c r="R23" i="14"/>
  <c r="R12" i="14"/>
  <c r="Q24" i="14"/>
  <c r="Q13" i="14"/>
  <c r="AG13" i="2"/>
  <c r="P25" i="14"/>
  <c r="P14" i="14"/>
  <c r="O26" i="14"/>
  <c r="O15" i="14"/>
  <c r="N14" i="14"/>
  <c r="AB14" i="14"/>
  <c r="N26" i="14"/>
  <c r="R22" i="6"/>
  <c r="N27" i="14"/>
  <c r="R54" i="20"/>
  <c r="T44" i="14"/>
  <c r="T45" i="14"/>
  <c r="O7" i="14"/>
  <c r="N8" i="14"/>
  <c r="AB8" i="14"/>
  <c r="P19" i="10"/>
  <c r="N27" i="10"/>
  <c r="P20" i="10"/>
  <c r="O15" i="10"/>
  <c r="R16" i="10"/>
  <c r="S20" i="10"/>
  <c r="S26" i="10"/>
  <c r="N20" i="10"/>
  <c r="R18" i="10"/>
  <c r="O18" i="10"/>
  <c r="Q15" i="10"/>
  <c r="R19" i="10"/>
  <c r="S11" i="10"/>
  <c r="S27" i="10"/>
  <c r="P26" i="10"/>
  <c r="O19" i="10"/>
  <c r="P11" i="10"/>
  <c r="P12" i="10"/>
  <c r="P62" i="10"/>
  <c r="P64" i="10"/>
  <c r="Q16" i="10"/>
  <c r="R20" i="10"/>
  <c r="O26" i="10"/>
  <c r="N19" i="10"/>
  <c r="AB19" i="10"/>
  <c r="Q11" i="10"/>
  <c r="O16" i="10"/>
  <c r="Q26" i="10"/>
  <c r="Q19" i="10"/>
  <c r="U8" i="2"/>
  <c r="T77" i="20"/>
  <c r="N15" i="10"/>
  <c r="N26" i="10"/>
  <c r="S15" i="10"/>
  <c r="R10" i="10"/>
  <c r="Q18" i="10"/>
  <c r="Q34" i="10"/>
  <c r="O20" i="10"/>
  <c r="O9" i="10"/>
  <c r="N10" i="10"/>
  <c r="N41" i="10"/>
  <c r="N11" i="10"/>
  <c r="R26" i="10"/>
  <c r="O27" i="10"/>
  <c r="AB27" i="10"/>
  <c r="S19" i="10"/>
  <c r="X19" i="10"/>
  <c r="Y19" i="10"/>
  <c r="S8" i="10"/>
  <c r="R15" i="10"/>
  <c r="Q10" i="10"/>
  <c r="P18" i="10"/>
  <c r="N18" i="10"/>
  <c r="AB18" i="10"/>
  <c r="R27" i="10"/>
  <c r="AC27" i="10"/>
  <c r="P27" i="10"/>
  <c r="S18" i="10"/>
  <c r="X18" i="10"/>
  <c r="Y18" i="10"/>
  <c r="Q20" i="10"/>
  <c r="Q9" i="10"/>
  <c r="P16" i="10"/>
  <c r="O11" i="10"/>
  <c r="N16" i="10"/>
  <c r="AB16" i="10"/>
  <c r="Q27" i="10"/>
  <c r="S16" i="10"/>
  <c r="R11" i="10"/>
  <c r="AC11" i="10"/>
  <c r="P15" i="10"/>
  <c r="O10" i="10"/>
  <c r="Q68" i="1"/>
  <c r="AB21" i="4"/>
  <c r="AB22" i="4"/>
  <c r="R18" i="9"/>
  <c r="AB23" i="14"/>
  <c r="W25" i="19"/>
  <c r="AB118" i="10"/>
  <c r="AB71" i="10"/>
  <c r="AB9" i="10"/>
  <c r="AB121" i="10"/>
  <c r="AB72" i="10"/>
  <c r="AB67" i="10"/>
  <c r="AB102" i="10"/>
  <c r="AB101" i="10"/>
  <c r="N32" i="10"/>
  <c r="AC67" i="10"/>
  <c r="AC72" i="10"/>
  <c r="AC68" i="10"/>
  <c r="AC8" i="10"/>
  <c r="AC102" i="10"/>
  <c r="AC10" i="10"/>
  <c r="AC118" i="10"/>
  <c r="AC18" i="10"/>
  <c r="AC20" i="10"/>
  <c r="R12" i="12"/>
  <c r="R33" i="10"/>
  <c r="R18" i="12"/>
  <c r="AC98" i="10"/>
  <c r="AB27" i="5"/>
  <c r="S9" i="9"/>
  <c r="X9" i="9"/>
  <c r="Y9" i="9"/>
  <c r="S8" i="9"/>
  <c r="X8" i="9"/>
  <c r="Y8" i="9"/>
  <c r="S22" i="9"/>
  <c r="X22" i="9"/>
  <c r="Y22" i="9"/>
  <c r="S20" i="9"/>
  <c r="S17" i="9"/>
  <c r="S23" i="9"/>
  <c r="S14" i="9"/>
  <c r="O28" i="12"/>
  <c r="O29" i="12"/>
  <c r="Q9" i="9"/>
  <c r="Q42" i="9"/>
  <c r="AB4" i="9"/>
  <c r="Q60" i="20"/>
  <c r="O15" i="12"/>
  <c r="O19" i="12"/>
  <c r="P50" i="4"/>
  <c r="O10" i="12"/>
  <c r="O39" i="12"/>
  <c r="O43" i="12"/>
  <c r="O11" i="12"/>
  <c r="S13" i="9"/>
  <c r="X21" i="4"/>
  <c r="Y21" i="4"/>
  <c r="P30" i="4"/>
  <c r="S42" i="9"/>
  <c r="O71" i="12"/>
  <c r="O25" i="12"/>
  <c r="Q20" i="9"/>
  <c r="Q21" i="9"/>
  <c r="O13" i="12"/>
  <c r="O26" i="12"/>
  <c r="O34" i="12"/>
  <c r="S7" i="9"/>
  <c r="S10" i="14"/>
  <c r="S42" i="14"/>
  <c r="X15" i="10"/>
  <c r="Y15" i="10"/>
  <c r="X12" i="17"/>
  <c r="Y12" i="17"/>
  <c r="S25" i="19"/>
  <c r="O38" i="12"/>
  <c r="Q7" i="9"/>
  <c r="Q10" i="9"/>
  <c r="O15" i="9"/>
  <c r="Q14" i="9"/>
  <c r="Q15" i="9"/>
  <c r="Q17" i="9"/>
  <c r="Q18" i="9"/>
  <c r="Q8" i="9"/>
  <c r="O37" i="12"/>
  <c r="S21" i="9"/>
  <c r="X21" i="9"/>
  <c r="Y21" i="9"/>
  <c r="O10" i="14"/>
  <c r="AB10" i="14"/>
  <c r="O42" i="14"/>
  <c r="X28" i="17"/>
  <c r="X11" i="17"/>
  <c r="Y11" i="17"/>
  <c r="AC20" i="9"/>
  <c r="O36" i="12"/>
  <c r="N20" i="5"/>
  <c r="N29" i="5"/>
  <c r="N15" i="5"/>
  <c r="O12" i="5"/>
  <c r="O21" i="5"/>
  <c r="O30" i="5"/>
  <c r="O33" i="5"/>
  <c r="AC28" i="21"/>
  <c r="P14" i="5"/>
  <c r="P23" i="5"/>
  <c r="P37" i="5"/>
  <c r="Q16" i="5"/>
  <c r="Q28" i="6"/>
  <c r="Q34" i="6"/>
  <c r="Q40" i="6"/>
  <c r="Q39" i="5"/>
  <c r="Q54" i="20"/>
  <c r="R10" i="5"/>
  <c r="R20" i="5"/>
  <c r="R29" i="5"/>
  <c r="AC29" i="5"/>
  <c r="S13" i="5"/>
  <c r="S22" i="5"/>
  <c r="N21" i="5"/>
  <c r="AB21" i="5"/>
  <c r="N30" i="5"/>
  <c r="N7" i="5"/>
  <c r="N16" i="5"/>
  <c r="O13" i="5"/>
  <c r="O22" i="5"/>
  <c r="P15" i="5"/>
  <c r="P24" i="5"/>
  <c r="P38" i="5"/>
  <c r="Q8" i="5"/>
  <c r="I8" i="2"/>
  <c r="Q17" i="5"/>
  <c r="R12" i="5"/>
  <c r="R21" i="5"/>
  <c r="R30" i="5"/>
  <c r="R33" i="5"/>
  <c r="S14" i="5"/>
  <c r="S23" i="5"/>
  <c r="S37" i="5"/>
  <c r="N22" i="5"/>
  <c r="N8" i="5"/>
  <c r="N17" i="5"/>
  <c r="O14" i="5"/>
  <c r="O23" i="5"/>
  <c r="AC23" i="21"/>
  <c r="O37" i="5"/>
  <c r="P7" i="5"/>
  <c r="P16" i="5"/>
  <c r="P28" i="6"/>
  <c r="P34" i="6"/>
  <c r="P40" i="6"/>
  <c r="P39" i="5"/>
  <c r="P54" i="20"/>
  <c r="R13" i="5"/>
  <c r="R22" i="5"/>
  <c r="S15" i="5"/>
  <c r="S24" i="5"/>
  <c r="S38" i="5"/>
  <c r="N23" i="5"/>
  <c r="AB23" i="5"/>
  <c r="N37" i="5"/>
  <c r="O15" i="5"/>
  <c r="O24" i="5"/>
  <c r="AC22" i="21"/>
  <c r="O38" i="5"/>
  <c r="P17" i="5"/>
  <c r="Q10" i="5"/>
  <c r="Q20" i="5"/>
  <c r="Q29" i="5"/>
  <c r="Q33" i="5"/>
  <c r="R14" i="5"/>
  <c r="R23" i="5"/>
  <c r="R37" i="5"/>
  <c r="S7" i="5"/>
  <c r="S16" i="5"/>
  <c r="S39" i="5"/>
  <c r="N13" i="5"/>
  <c r="P33" i="5"/>
  <c r="R8" i="5"/>
  <c r="P10" i="5"/>
  <c r="Q13" i="5"/>
  <c r="R16" i="5"/>
  <c r="S10" i="5"/>
  <c r="N39" i="5"/>
  <c r="O17" i="5"/>
  <c r="P12" i="5"/>
  <c r="Q14" i="5"/>
  <c r="R17" i="5"/>
  <c r="P20" i="5"/>
  <c r="Q22" i="5"/>
  <c r="S20" i="5"/>
  <c r="P21" i="5"/>
  <c r="Q23" i="5"/>
  <c r="O8" i="5"/>
  <c r="AC9" i="21"/>
  <c r="Q7" i="5"/>
  <c r="Q9" i="5"/>
  <c r="P10" i="4"/>
  <c r="P21" i="4"/>
  <c r="P22" i="4"/>
  <c r="O14" i="12"/>
  <c r="Q22" i="9"/>
  <c r="O8" i="12"/>
  <c r="S50" i="12"/>
  <c r="N50" i="4"/>
  <c r="N10" i="4"/>
  <c r="N40" i="12"/>
  <c r="O35" i="12"/>
  <c r="O42" i="12"/>
  <c r="O44" i="12"/>
  <c r="O38" i="10"/>
  <c r="O9" i="12"/>
  <c r="AC51" i="21"/>
  <c r="Q29" i="12"/>
  <c r="Q30" i="12"/>
  <c r="Q37" i="12"/>
  <c r="AB4" i="12"/>
  <c r="Q39" i="12"/>
  <c r="Q43" i="12"/>
  <c r="Q44" i="12"/>
  <c r="Q38" i="10"/>
  <c r="R21" i="9"/>
  <c r="R24" i="9"/>
  <c r="R14" i="9"/>
  <c r="R15" i="9"/>
  <c r="N28" i="5"/>
  <c r="AB28" i="5"/>
  <c r="R28" i="5"/>
  <c r="AC28" i="5"/>
  <c r="AF28" i="5"/>
  <c r="AG28" i="5"/>
  <c r="Q26" i="5"/>
  <c r="Q27" i="5"/>
  <c r="P26" i="5"/>
  <c r="Q28" i="5"/>
  <c r="P27" i="5"/>
  <c r="S26" i="5"/>
  <c r="O26" i="5"/>
  <c r="P28" i="5"/>
  <c r="S27" i="5"/>
  <c r="S26" i="12"/>
  <c r="S8" i="12"/>
  <c r="S35" i="12"/>
  <c r="S50" i="4"/>
  <c r="AC50" i="4"/>
  <c r="N14" i="5"/>
  <c r="AB14" i="5"/>
  <c r="S30" i="4"/>
  <c r="X30" i="4"/>
  <c r="Y30" i="4"/>
  <c r="N15" i="12"/>
  <c r="S38" i="12"/>
  <c r="AC38" i="12"/>
  <c r="S10" i="4"/>
  <c r="X10" i="4"/>
  <c r="Y10" i="4"/>
  <c r="X10" i="19"/>
  <c r="X12" i="19"/>
  <c r="X22" i="19"/>
  <c r="X25" i="19"/>
  <c r="S33" i="5"/>
  <c r="S4" i="6"/>
  <c r="S4" i="14"/>
  <c r="X7" i="14"/>
  <c r="Y7" i="14"/>
  <c r="P4" i="6"/>
  <c r="P4" i="12"/>
  <c r="R4" i="20"/>
  <c r="S17" i="5"/>
  <c r="S8" i="5"/>
  <c r="R38" i="5"/>
  <c r="R24" i="5"/>
  <c r="R15" i="5"/>
  <c r="AC15" i="5"/>
  <c r="Q30" i="5"/>
  <c r="Q21" i="5"/>
  <c r="Q12" i="5"/>
  <c r="O39" i="5"/>
  <c r="O54" i="20"/>
  <c r="O16" i="5"/>
  <c r="O7" i="5"/>
  <c r="N10" i="5"/>
  <c r="N38" i="5"/>
  <c r="N24" i="5"/>
  <c r="AB24" i="5"/>
  <c r="S30" i="5"/>
  <c r="S21" i="5"/>
  <c r="S12" i="5"/>
  <c r="Q38" i="5"/>
  <c r="Q40" i="5"/>
  <c r="Q130" i="5"/>
  <c r="Q132" i="5"/>
  <c r="Q24" i="5"/>
  <c r="Q15" i="5"/>
  <c r="P22" i="5"/>
  <c r="P13" i="5"/>
  <c r="O29" i="5"/>
  <c r="O20" i="5"/>
  <c r="O10" i="5"/>
  <c r="Q58" i="1"/>
  <c r="P41" i="20"/>
  <c r="R17" i="1"/>
  <c r="P11" i="1"/>
  <c r="P60" i="1"/>
  <c r="N33" i="1"/>
  <c r="N41" i="1"/>
  <c r="O56" i="1"/>
  <c r="V26" i="1"/>
  <c r="T26" i="1"/>
  <c r="T7" i="1"/>
  <c r="T9" i="1"/>
  <c r="S19" i="1"/>
  <c r="Q34" i="1"/>
  <c r="Q42" i="1"/>
  <c r="Q13" i="1"/>
  <c r="Q49" i="1"/>
  <c r="R26" i="1"/>
  <c r="U26" i="1"/>
  <c r="T33" i="1"/>
  <c r="T41" i="1"/>
  <c r="T18" i="1"/>
  <c r="S18" i="1"/>
  <c r="R35" i="1"/>
  <c r="R50" i="1"/>
  <c r="Q29" i="1"/>
  <c r="Q12" i="1"/>
  <c r="P23" i="1"/>
  <c r="P10" i="1"/>
  <c r="O21" i="1"/>
  <c r="N13" i="1"/>
  <c r="N23" i="1"/>
  <c r="P7" i="1"/>
  <c r="P17" i="1"/>
  <c r="P29" i="1"/>
  <c r="Q8" i="1"/>
  <c r="Q18" i="1"/>
  <c r="Q30" i="1"/>
  <c r="R19" i="1"/>
  <c r="R31" i="1"/>
  <c r="S10" i="1"/>
  <c r="S20" i="1"/>
  <c r="S33" i="1"/>
  <c r="S41" i="1"/>
  <c r="T11" i="1"/>
  <c r="T60" i="1"/>
  <c r="T21" i="1"/>
  <c r="T34" i="1"/>
  <c r="T42" i="1"/>
  <c r="T56" i="1"/>
  <c r="N26" i="1"/>
  <c r="R58" i="1"/>
  <c r="Q41" i="20"/>
  <c r="Q26" i="1"/>
  <c r="O57" i="1"/>
  <c r="P58" i="1"/>
  <c r="O41" i="20"/>
  <c r="S57" i="1"/>
  <c r="P49" i="1"/>
  <c r="N7" i="1"/>
  <c r="O7" i="1"/>
  <c r="O17" i="1"/>
  <c r="O29" i="1"/>
  <c r="P8" i="1"/>
  <c r="P18" i="1"/>
  <c r="P30" i="1"/>
  <c r="Q19" i="1"/>
  <c r="Q31" i="1"/>
  <c r="R10" i="1"/>
  <c r="R20" i="1"/>
  <c r="R33" i="1"/>
  <c r="R41" i="1"/>
  <c r="S11" i="1"/>
  <c r="S60" i="1"/>
  <c r="S21" i="1"/>
  <c r="S34" i="1"/>
  <c r="S42" i="1"/>
  <c r="T12" i="1"/>
  <c r="T22" i="1"/>
  <c r="T35" i="1"/>
  <c r="S49" i="1"/>
  <c r="N17" i="1"/>
  <c r="N29" i="1"/>
  <c r="N8" i="1"/>
  <c r="O8" i="1"/>
  <c r="O18" i="1"/>
  <c r="O30" i="1"/>
  <c r="P19" i="1"/>
  <c r="P31" i="1"/>
  <c r="Q10" i="1"/>
  <c r="Q20" i="1"/>
  <c r="Q33" i="1"/>
  <c r="Q41" i="1"/>
  <c r="R11" i="1"/>
  <c r="R21" i="1"/>
  <c r="R34" i="1"/>
  <c r="R42" i="1"/>
  <c r="S12" i="1"/>
  <c r="S22" i="1"/>
  <c r="O49" i="1"/>
  <c r="O48" i="1"/>
  <c r="T19" i="1"/>
  <c r="O22" i="1"/>
  <c r="R49" i="1"/>
  <c r="O58" i="1"/>
  <c r="N41" i="20"/>
  <c r="P26" i="1"/>
  <c r="T31" i="1"/>
  <c r="T17" i="1"/>
  <c r="S35" i="1"/>
  <c r="S50" i="1"/>
  <c r="S17" i="1"/>
  <c r="R30" i="1"/>
  <c r="R13" i="1"/>
  <c r="Q11" i="1"/>
  <c r="Q60" i="1"/>
  <c r="P22" i="1"/>
  <c r="O20" i="1"/>
  <c r="N12" i="1"/>
  <c r="N30" i="1"/>
  <c r="S48" i="1"/>
  <c r="R57" i="1"/>
  <c r="R56" i="1"/>
  <c r="P56" i="1"/>
  <c r="T58" i="1"/>
  <c r="T30" i="1"/>
  <c r="S31" i="1"/>
  <c r="R29" i="1"/>
  <c r="R12" i="1"/>
  <c r="Q23" i="1"/>
  <c r="Q7" i="1"/>
  <c r="P21" i="1"/>
  <c r="O35" i="1"/>
  <c r="O19" i="1"/>
  <c r="N11" i="1"/>
  <c r="O55" i="1"/>
  <c r="N22" i="1"/>
  <c r="Q57" i="1"/>
  <c r="P48" i="1"/>
  <c r="T29" i="1"/>
  <c r="T13" i="1"/>
  <c r="S30" i="1"/>
  <c r="S13" i="1"/>
  <c r="R8" i="1"/>
  <c r="C8" i="2"/>
  <c r="Q22" i="1"/>
  <c r="P20" i="1"/>
  <c r="O34" i="1"/>
  <c r="O42" i="1"/>
  <c r="O13" i="1"/>
  <c r="N10" i="1"/>
  <c r="N21" i="1"/>
  <c r="P57" i="1"/>
  <c r="O26" i="1"/>
  <c r="T57" i="1"/>
  <c r="T10" i="1"/>
  <c r="C10" i="2"/>
  <c r="S29" i="1"/>
  <c r="R23" i="1"/>
  <c r="R7" i="1"/>
  <c r="R9" i="1"/>
  <c r="Q21" i="1"/>
  <c r="P35" i="1"/>
  <c r="P50" i="1"/>
  <c r="O33" i="1"/>
  <c r="O41" i="1"/>
  <c r="O12" i="1"/>
  <c r="N20" i="1"/>
  <c r="S26" i="1"/>
  <c r="S56" i="1"/>
  <c r="R48" i="1"/>
  <c r="T48" i="1"/>
  <c r="T23" i="1"/>
  <c r="S8" i="1"/>
  <c r="S9" i="1"/>
  <c r="R22" i="1"/>
  <c r="Q17" i="1"/>
  <c r="P34" i="1"/>
  <c r="P42" i="1"/>
  <c r="P13" i="1"/>
  <c r="O31" i="1"/>
  <c r="O11" i="1"/>
  <c r="O60" i="1"/>
  <c r="N35" i="1"/>
  <c r="N19" i="1"/>
  <c r="N16" i="8"/>
  <c r="N17" i="8"/>
  <c r="O7" i="8"/>
  <c r="O17" i="8"/>
  <c r="P7" i="8"/>
  <c r="P17" i="8"/>
  <c r="P21" i="8"/>
  <c r="Q7" i="8"/>
  <c r="Q17" i="8"/>
  <c r="R7" i="8"/>
  <c r="R17" i="8"/>
  <c r="S7" i="8"/>
  <c r="S17" i="8"/>
  <c r="X17" i="8"/>
  <c r="Y17" i="8"/>
  <c r="N18" i="8"/>
  <c r="O8" i="8"/>
  <c r="O18" i="8"/>
  <c r="P8" i="8"/>
  <c r="P18" i="8"/>
  <c r="Q8" i="8"/>
  <c r="Q18" i="8"/>
  <c r="R8" i="8"/>
  <c r="R18" i="8"/>
  <c r="S8" i="8"/>
  <c r="S18" i="8"/>
  <c r="N8" i="8"/>
  <c r="N9" i="8"/>
  <c r="N19" i="8"/>
  <c r="O19" i="8"/>
  <c r="O19" i="2"/>
  <c r="P19" i="8"/>
  <c r="Q19" i="8"/>
  <c r="R19" i="8"/>
  <c r="S19" i="8"/>
  <c r="N20" i="8"/>
  <c r="O20" i="8"/>
  <c r="P20" i="8"/>
  <c r="Q20" i="8"/>
  <c r="R10" i="8"/>
  <c r="R20" i="8"/>
  <c r="S10" i="8"/>
  <c r="S20" i="8"/>
  <c r="N12" i="8"/>
  <c r="N25" i="8"/>
  <c r="O12" i="8"/>
  <c r="O25" i="8"/>
  <c r="P12" i="8"/>
  <c r="P25" i="8"/>
  <c r="Q12" i="8"/>
  <c r="Q25" i="8"/>
  <c r="R12" i="8"/>
  <c r="R25" i="8"/>
  <c r="S12" i="8"/>
  <c r="X12" i="8"/>
  <c r="Y12" i="8"/>
  <c r="S25" i="8"/>
  <c r="N10" i="8"/>
  <c r="N26" i="8"/>
  <c r="O26" i="8"/>
  <c r="P26" i="8"/>
  <c r="Q26" i="8"/>
  <c r="R26" i="8"/>
  <c r="S26" i="8"/>
  <c r="U72" i="20"/>
  <c r="X16" i="8"/>
  <c r="Y16" i="8"/>
  <c r="R16" i="8"/>
  <c r="Q10" i="8"/>
  <c r="P10" i="8"/>
  <c r="Q16" i="8"/>
  <c r="O10" i="8"/>
  <c r="Q24" i="1"/>
  <c r="Q101" i="1"/>
  <c r="Q103" i="1"/>
  <c r="N9" i="1"/>
  <c r="X16" i="10"/>
  <c r="Y16" i="10"/>
  <c r="N34" i="10"/>
  <c r="N38" i="10"/>
  <c r="AB10" i="10"/>
  <c r="Q12" i="10"/>
  <c r="Q62" i="10"/>
  <c r="Q64" i="10"/>
  <c r="R21" i="10"/>
  <c r="AF18" i="10"/>
  <c r="AG18" i="10"/>
  <c r="P21" i="10"/>
  <c r="O28" i="14"/>
  <c r="O85" i="14"/>
  <c r="O88" i="14"/>
  <c r="AB24" i="14"/>
  <c r="S28" i="14"/>
  <c r="S85" i="14"/>
  <c r="S88" i="14"/>
  <c r="AB12" i="14"/>
  <c r="N9" i="14"/>
  <c r="N17" i="14"/>
  <c r="N51" i="14"/>
  <c r="N56" i="14"/>
  <c r="Q28" i="14"/>
  <c r="Q85" i="14"/>
  <c r="Q88" i="14"/>
  <c r="S9" i="14"/>
  <c r="S17" i="14"/>
  <c r="AB20" i="14"/>
  <c r="AC22" i="4"/>
  <c r="AF21" i="4"/>
  <c r="AG21" i="4"/>
  <c r="AB7" i="14"/>
  <c r="P17" i="14"/>
  <c r="P51" i="14"/>
  <c r="P56" i="14"/>
  <c r="Q16" i="12"/>
  <c r="Q22" i="12"/>
  <c r="Q21" i="12"/>
  <c r="Q32" i="10"/>
  <c r="R30" i="12"/>
  <c r="P18" i="9"/>
  <c r="P15" i="9"/>
  <c r="R28" i="14"/>
  <c r="R85" i="14"/>
  <c r="R88" i="14"/>
  <c r="R9" i="14"/>
  <c r="R17" i="14"/>
  <c r="R51" i="14"/>
  <c r="R56" i="14"/>
  <c r="R50" i="14"/>
  <c r="U25" i="19"/>
  <c r="X31" i="19"/>
  <c r="AC22" i="5"/>
  <c r="AB17" i="5"/>
  <c r="AC21" i="5"/>
  <c r="AF21" i="5"/>
  <c r="AG21" i="5"/>
  <c r="O22" i="4"/>
  <c r="X7" i="4"/>
  <c r="Y7" i="4"/>
  <c r="X14" i="9"/>
  <c r="Y14" i="9"/>
  <c r="R39" i="10"/>
  <c r="AB16" i="14"/>
  <c r="Q34" i="19"/>
  <c r="Q10" i="19"/>
  <c r="Q12" i="19"/>
  <c r="Q9" i="19"/>
  <c r="Q6" i="19"/>
  <c r="Q21" i="19"/>
  <c r="Q24" i="19"/>
  <c r="P3" i="19"/>
  <c r="Q22" i="19"/>
  <c r="Q36" i="19"/>
  <c r="Q38" i="19"/>
  <c r="Q11" i="19"/>
  <c r="Q30" i="19"/>
  <c r="Q18" i="19"/>
  <c r="Q23" i="19"/>
  <c r="Q15" i="19"/>
  <c r="Q29" i="19"/>
  <c r="Q31" i="19"/>
  <c r="X13" i="9"/>
  <c r="Y13" i="9"/>
  <c r="AC13" i="5"/>
  <c r="X23" i="9"/>
  <c r="Y23" i="9"/>
  <c r="P28" i="14"/>
  <c r="P85" i="14"/>
  <c r="P88" i="14"/>
  <c r="U42" i="9"/>
  <c r="AC13" i="9"/>
  <c r="AC4" i="9"/>
  <c r="R50" i="12"/>
  <c r="AF50" i="4"/>
  <c r="AG50" i="4"/>
  <c r="AC24" i="5"/>
  <c r="AF24" i="5"/>
  <c r="AG24" i="5"/>
  <c r="AC14" i="5"/>
  <c r="AB22" i="5"/>
  <c r="X17" i="9"/>
  <c r="Y17" i="9"/>
  <c r="AF22" i="4"/>
  <c r="AG22" i="4"/>
  <c r="R45" i="12"/>
  <c r="R37" i="10"/>
  <c r="AC15" i="12"/>
  <c r="AC10" i="12"/>
  <c r="AC51" i="12"/>
  <c r="AC49" i="12"/>
  <c r="AC37" i="12"/>
  <c r="AC9" i="12"/>
  <c r="AC28" i="12"/>
  <c r="AC13" i="12"/>
  <c r="AC25" i="12"/>
  <c r="AC19" i="12"/>
  <c r="AC14" i="12"/>
  <c r="P10" i="9"/>
  <c r="P32" i="8"/>
  <c r="AC12" i="8"/>
  <c r="AB12" i="8"/>
  <c r="S41" i="20"/>
  <c r="AC50" i="12"/>
  <c r="AB15" i="9"/>
  <c r="R31" i="12"/>
  <c r="Q22" i="4"/>
  <c r="AC43" i="12"/>
  <c r="P72" i="20"/>
  <c r="P94" i="8"/>
  <c r="P96" i="8"/>
  <c r="O21" i="8"/>
  <c r="Q40" i="12"/>
  <c r="BS64" i="18"/>
  <c r="BT57" i="18"/>
  <c r="BT63" i="18"/>
  <c r="BT64" i="18"/>
  <c r="O12" i="12"/>
  <c r="AB27" i="14"/>
  <c r="N28" i="14"/>
  <c r="N85" i="14"/>
  <c r="N88" i="14"/>
  <c r="T86" i="20"/>
  <c r="AB26" i="14"/>
  <c r="AB13" i="14"/>
  <c r="O87" i="20"/>
  <c r="Q87" i="20"/>
  <c r="AB15" i="14"/>
  <c r="Q9" i="14"/>
  <c r="Q17" i="14"/>
  <c r="Q51" i="14"/>
  <c r="Q56" i="14"/>
  <c r="Q50" i="14"/>
  <c r="O9" i="14"/>
  <c r="O17" i="14"/>
  <c r="O51" i="14"/>
  <c r="O56" i="14"/>
  <c r="O50" i="14"/>
  <c r="P22" i="10"/>
  <c r="F56" i="21"/>
  <c r="O41" i="10"/>
  <c r="Q41" i="10"/>
  <c r="S29" i="10"/>
  <c r="X26" i="10"/>
  <c r="Y26" i="10"/>
  <c r="Q28" i="10"/>
  <c r="X27" i="10"/>
  <c r="Y27" i="10"/>
  <c r="S28" i="10"/>
  <c r="X20" i="10"/>
  <c r="Y20" i="10"/>
  <c r="X8" i="10"/>
  <c r="Y8" i="10"/>
  <c r="S12" i="10"/>
  <c r="S62" i="10"/>
  <c r="S64" i="10"/>
  <c r="N12" i="10"/>
  <c r="N62" i="10"/>
  <c r="N64" i="10"/>
  <c r="X11" i="10"/>
  <c r="Y11" i="10"/>
  <c r="AC16" i="10"/>
  <c r="AF16" i="10"/>
  <c r="AG16" i="10"/>
  <c r="O28" i="10"/>
  <c r="R38" i="10"/>
  <c r="R12" i="10"/>
  <c r="R62" i="10"/>
  <c r="R64" i="10"/>
  <c r="O29" i="10"/>
  <c r="O21" i="10"/>
  <c r="O83" i="10"/>
  <c r="O85" i="10"/>
  <c r="AB15" i="10"/>
  <c r="N21" i="10"/>
  <c r="N83" i="10"/>
  <c r="N85" i="10"/>
  <c r="X9" i="10"/>
  <c r="Y9" i="10"/>
  <c r="R28" i="10"/>
  <c r="AC28" i="10"/>
  <c r="Q21" i="10"/>
  <c r="P28" i="10"/>
  <c r="P29" i="10"/>
  <c r="AC19" i="10"/>
  <c r="AC15" i="10"/>
  <c r="R29" i="10"/>
  <c r="AC29" i="10"/>
  <c r="AC26" i="10"/>
  <c r="R41" i="10"/>
  <c r="X10" i="10"/>
  <c r="Y10" i="10"/>
  <c r="AB11" i="10"/>
  <c r="AF11" i="10"/>
  <c r="AG11" i="10"/>
  <c r="S21" i="10"/>
  <c r="O12" i="10"/>
  <c r="O62" i="10"/>
  <c r="O64" i="10"/>
  <c r="S41" i="10"/>
  <c r="AB26" i="10"/>
  <c r="Q29" i="10"/>
  <c r="N28" i="10"/>
  <c r="AB28" i="10"/>
  <c r="AB20" i="10"/>
  <c r="AF20" i="10"/>
  <c r="AG20" i="10"/>
  <c r="Q46" i="12"/>
  <c r="Q45" i="12"/>
  <c r="Q37" i="10"/>
  <c r="Q39" i="10"/>
  <c r="R60" i="20"/>
  <c r="R40" i="5"/>
  <c r="R130" i="5"/>
  <c r="R132" i="5"/>
  <c r="AC37" i="5"/>
  <c r="O31" i="5"/>
  <c r="AC18" i="21"/>
  <c r="X21" i="5"/>
  <c r="Y21" i="5"/>
  <c r="S42" i="12"/>
  <c r="X42" i="12"/>
  <c r="Y42" i="12"/>
  <c r="S40" i="12"/>
  <c r="AC35" i="12"/>
  <c r="R87" i="20"/>
  <c r="AC17" i="5"/>
  <c r="AF17" i="5"/>
  <c r="AG17" i="5"/>
  <c r="P91" i="20"/>
  <c r="P88" i="20"/>
  <c r="P16" i="6"/>
  <c r="P18" i="6"/>
  <c r="P64" i="20"/>
  <c r="AC23" i="5"/>
  <c r="AF23" i="5"/>
  <c r="AG23" i="5"/>
  <c r="AB8" i="5"/>
  <c r="AC12" i="5"/>
  <c r="N28" i="6"/>
  <c r="AB16" i="5"/>
  <c r="R88" i="20"/>
  <c r="R16" i="6"/>
  <c r="R91" i="20"/>
  <c r="AC10" i="5"/>
  <c r="S44" i="14"/>
  <c r="S24" i="6"/>
  <c r="S23" i="6"/>
  <c r="AF27" i="10"/>
  <c r="AG27" i="10"/>
  <c r="AF9" i="10"/>
  <c r="AG9" i="10"/>
  <c r="X29" i="5"/>
  <c r="Y29" i="5"/>
  <c r="X30" i="5"/>
  <c r="Y30" i="5"/>
  <c r="S42" i="6"/>
  <c r="S57" i="6"/>
  <c r="N19" i="12"/>
  <c r="S12" i="12"/>
  <c r="AC8" i="12"/>
  <c r="Q18" i="5"/>
  <c r="Q59" i="5"/>
  <c r="Q61" i="5"/>
  <c r="AC8" i="5"/>
  <c r="AF14" i="5"/>
  <c r="AG14" i="5"/>
  <c r="N9" i="5"/>
  <c r="AB7" i="5"/>
  <c r="AC11" i="21"/>
  <c r="Q24" i="9"/>
  <c r="S18" i="9"/>
  <c r="X18" i="9"/>
  <c r="Y18" i="9"/>
  <c r="S15" i="9"/>
  <c r="X15" i="9"/>
  <c r="Y15" i="9"/>
  <c r="S24" i="9"/>
  <c r="X24" i="9"/>
  <c r="Y24" i="9"/>
  <c r="X20" i="9"/>
  <c r="Y20" i="9"/>
  <c r="AF10" i="10"/>
  <c r="AG10" i="10"/>
  <c r="AC41" i="10"/>
  <c r="X12" i="5"/>
  <c r="Y12" i="5"/>
  <c r="X33" i="5"/>
  <c r="Y33" i="5"/>
  <c r="N29" i="14"/>
  <c r="S27" i="12"/>
  <c r="AC26" i="12"/>
  <c r="Q29" i="14"/>
  <c r="Q45" i="14"/>
  <c r="O18" i="12"/>
  <c r="O20" i="12"/>
  <c r="X20" i="12"/>
  <c r="Y20" i="12"/>
  <c r="O33" i="10"/>
  <c r="N40" i="5"/>
  <c r="N130" i="5"/>
  <c r="N132" i="5"/>
  <c r="N60" i="20"/>
  <c r="AB37" i="5"/>
  <c r="S40" i="5"/>
  <c r="S130" i="5"/>
  <c r="S132" i="5"/>
  <c r="S60" i="20"/>
  <c r="X37" i="5"/>
  <c r="Y37" i="5"/>
  <c r="AB30" i="5"/>
  <c r="AB15" i="5"/>
  <c r="R9" i="5"/>
  <c r="X7" i="9"/>
  <c r="Y7" i="9"/>
  <c r="S10" i="9"/>
  <c r="X10" i="9"/>
  <c r="Y10" i="9"/>
  <c r="O27" i="12"/>
  <c r="AB14" i="9"/>
  <c r="AB8" i="9"/>
  <c r="AB23" i="9"/>
  <c r="AB22" i="9"/>
  <c r="AB21" i="9"/>
  <c r="AB17" i="9"/>
  <c r="AB13" i="9"/>
  <c r="AB18" i="9"/>
  <c r="AB9" i="9"/>
  <c r="R20" i="12"/>
  <c r="AC20" i="12"/>
  <c r="AC18" i="12"/>
  <c r="X17" i="5"/>
  <c r="Y17" i="5"/>
  <c r="N61" i="20"/>
  <c r="AB38" i="5"/>
  <c r="AF15" i="5"/>
  <c r="AG15" i="5"/>
  <c r="AC27" i="5"/>
  <c r="AF27" i="5"/>
  <c r="AG27" i="5"/>
  <c r="X27" i="5"/>
  <c r="Y27" i="5"/>
  <c r="O16" i="12"/>
  <c r="O22" i="12"/>
  <c r="O32" i="10"/>
  <c r="O34" i="10"/>
  <c r="F64" i="21"/>
  <c r="AB13" i="5"/>
  <c r="AF13" i="5"/>
  <c r="AG13" i="5"/>
  <c r="P9" i="5"/>
  <c r="P18" i="5"/>
  <c r="P59" i="5"/>
  <c r="P61" i="5"/>
  <c r="I7" i="2"/>
  <c r="X23" i="5"/>
  <c r="Y23" i="5"/>
  <c r="P61" i="20"/>
  <c r="P53" i="20"/>
  <c r="P40" i="5"/>
  <c r="P130" i="5"/>
  <c r="P132" i="5"/>
  <c r="P60" i="20"/>
  <c r="AB29" i="5"/>
  <c r="O44" i="14"/>
  <c r="O24" i="6"/>
  <c r="X24" i="6"/>
  <c r="Y24" i="6"/>
  <c r="O23" i="6"/>
  <c r="AC38" i="21"/>
  <c r="X22" i="4"/>
  <c r="Y22" i="4"/>
  <c r="R41" i="20"/>
  <c r="AF19" i="10"/>
  <c r="AG19" i="10"/>
  <c r="N91" i="20"/>
  <c r="N88" i="20"/>
  <c r="N16" i="6"/>
  <c r="AB10" i="5"/>
  <c r="P14" i="12"/>
  <c r="P38" i="12"/>
  <c r="P10" i="12"/>
  <c r="P39" i="12"/>
  <c r="P43" i="12"/>
  <c r="P49" i="12"/>
  <c r="P25" i="12"/>
  <c r="P27" i="12"/>
  <c r="X13" i="12"/>
  <c r="Y13" i="12"/>
  <c r="P13" i="12"/>
  <c r="P8" i="12"/>
  <c r="P36" i="12"/>
  <c r="P11" i="12"/>
  <c r="P26" i="12"/>
  <c r="P9" i="12"/>
  <c r="P71" i="12"/>
  <c r="AB43" i="12"/>
  <c r="AF43" i="12"/>
  <c r="AG43" i="12"/>
  <c r="P34" i="12"/>
  <c r="P37" i="12"/>
  <c r="P15" i="12"/>
  <c r="P19" i="12"/>
  <c r="P51" i="12"/>
  <c r="P28" i="12"/>
  <c r="X51" i="12"/>
  <c r="Y51" i="12"/>
  <c r="X43" i="12"/>
  <c r="Y43" i="12"/>
  <c r="X9" i="12"/>
  <c r="Y9" i="12"/>
  <c r="X8" i="12"/>
  <c r="Y8" i="12"/>
  <c r="X29" i="12"/>
  <c r="Y29" i="12"/>
  <c r="X10" i="12"/>
  <c r="Y10" i="12"/>
  <c r="X35" i="12"/>
  <c r="Y35" i="12"/>
  <c r="X37" i="12"/>
  <c r="Y37" i="12"/>
  <c r="X26" i="12"/>
  <c r="Y26" i="12"/>
  <c r="X34" i="12"/>
  <c r="Y34" i="12"/>
  <c r="X18" i="12"/>
  <c r="Y18" i="12"/>
  <c r="X50" i="12"/>
  <c r="Y50" i="12"/>
  <c r="P29" i="12"/>
  <c r="X25" i="12"/>
  <c r="Y25" i="12"/>
  <c r="X36" i="12"/>
  <c r="Y36" i="12"/>
  <c r="X14" i="12"/>
  <c r="Y14" i="12"/>
  <c r="X15" i="12"/>
  <c r="Y15" i="12"/>
  <c r="X49" i="12"/>
  <c r="Y49" i="12"/>
  <c r="X39" i="12"/>
  <c r="Y39" i="12"/>
  <c r="X11" i="12"/>
  <c r="Y11" i="12"/>
  <c r="X19" i="12"/>
  <c r="Y19" i="12"/>
  <c r="X12" i="12"/>
  <c r="Y12" i="12"/>
  <c r="X38" i="12"/>
  <c r="Y38" i="12"/>
  <c r="X27" i="12"/>
  <c r="Y27" i="12"/>
  <c r="P35" i="12"/>
  <c r="P42" i="12"/>
  <c r="P44" i="12"/>
  <c r="P38" i="10"/>
  <c r="P24" i="12"/>
  <c r="X24" i="12"/>
  <c r="Y24" i="12"/>
  <c r="N46" i="12"/>
  <c r="N39" i="10"/>
  <c r="N54" i="20"/>
  <c r="AB39" i="5"/>
  <c r="S54" i="20"/>
  <c r="AC39" i="5"/>
  <c r="X39" i="5"/>
  <c r="Y39" i="5"/>
  <c r="Q31" i="5"/>
  <c r="X38" i="5"/>
  <c r="Y38" i="5"/>
  <c r="S61" i="20"/>
  <c r="O60" i="20"/>
  <c r="O40" i="5"/>
  <c r="O130" i="5"/>
  <c r="O132" i="5"/>
  <c r="X14" i="5"/>
  <c r="Y14" i="5"/>
  <c r="X22" i="5"/>
  <c r="Y22" i="5"/>
  <c r="N31" i="5"/>
  <c r="N91" i="5"/>
  <c r="N93" i="5"/>
  <c r="AB20" i="5"/>
  <c r="X28" i="12"/>
  <c r="Y28" i="12"/>
  <c r="AC9" i="9"/>
  <c r="AF9" i="9"/>
  <c r="AG9" i="9"/>
  <c r="AC23" i="9"/>
  <c r="AF23" i="9"/>
  <c r="AG23" i="9"/>
  <c r="AC8" i="9"/>
  <c r="N87" i="20"/>
  <c r="AB28" i="14"/>
  <c r="R34" i="10"/>
  <c r="R32" i="10"/>
  <c r="R16" i="12"/>
  <c r="AC12" i="12"/>
  <c r="O16" i="6"/>
  <c r="O18" i="6"/>
  <c r="O64" i="20"/>
  <c r="O91" i="20"/>
  <c r="O88" i="20"/>
  <c r="P29" i="14"/>
  <c r="P45" i="14"/>
  <c r="O61" i="20"/>
  <c r="R31" i="5"/>
  <c r="R91" i="5"/>
  <c r="R93" i="5"/>
  <c r="AC20" i="5"/>
  <c r="S21" i="8"/>
  <c r="S94" i="8"/>
  <c r="S96" i="8"/>
  <c r="S32" i="8"/>
  <c r="O35" i="8"/>
  <c r="X19" i="8"/>
  <c r="Y19" i="8"/>
  <c r="O9" i="5"/>
  <c r="O18" i="5"/>
  <c r="O59" i="5"/>
  <c r="O61" i="5"/>
  <c r="AC8" i="21"/>
  <c r="R61" i="20"/>
  <c r="AC38" i="5"/>
  <c r="AB26" i="5"/>
  <c r="AC21" i="9"/>
  <c r="AF21" i="9"/>
  <c r="AG21" i="9"/>
  <c r="S31" i="5"/>
  <c r="S91" i="5"/>
  <c r="S93" i="5"/>
  <c r="X20" i="5"/>
  <c r="Y20" i="5"/>
  <c r="S91" i="20"/>
  <c r="S16" i="6"/>
  <c r="S18" i="6"/>
  <c r="S64" i="20"/>
  <c r="I10" i="2"/>
  <c r="S88" i="20"/>
  <c r="X10" i="5"/>
  <c r="Y10" i="5"/>
  <c r="S28" i="6"/>
  <c r="S34" i="6"/>
  <c r="S40" i="6"/>
  <c r="X16" i="5"/>
  <c r="Q91" i="20"/>
  <c r="Q88" i="20"/>
  <c r="Q16" i="6"/>
  <c r="Q18" i="6"/>
  <c r="Q64" i="20"/>
  <c r="X24" i="5"/>
  <c r="Y24" i="5"/>
  <c r="AC33" i="5"/>
  <c r="X13" i="5"/>
  <c r="Y13" i="5"/>
  <c r="O40" i="12"/>
  <c r="AB12" i="5"/>
  <c r="AF8" i="10"/>
  <c r="AG8" i="10"/>
  <c r="AC34" i="10"/>
  <c r="N16" i="12"/>
  <c r="AC22" i="9"/>
  <c r="AF22" i="9"/>
  <c r="AG22" i="9"/>
  <c r="X10" i="14"/>
  <c r="Y10" i="14"/>
  <c r="X23" i="14"/>
  <c r="Y23" i="14"/>
  <c r="X21" i="14"/>
  <c r="Y21" i="14"/>
  <c r="X12" i="14"/>
  <c r="Y12" i="14"/>
  <c r="X22" i="14"/>
  <c r="Y22" i="14"/>
  <c r="X16" i="14"/>
  <c r="Y16" i="14"/>
  <c r="X20" i="14"/>
  <c r="Y20" i="14"/>
  <c r="X8" i="14"/>
  <c r="Y8" i="14"/>
  <c r="X24" i="14"/>
  <c r="Y24" i="14"/>
  <c r="X14" i="14"/>
  <c r="Y14" i="14"/>
  <c r="X28" i="14"/>
  <c r="Y28" i="14"/>
  <c r="X27" i="14"/>
  <c r="Y27" i="14"/>
  <c r="X13" i="14"/>
  <c r="Y13" i="14"/>
  <c r="X15" i="14"/>
  <c r="Y15" i="14"/>
  <c r="S48" i="14"/>
  <c r="X25" i="14"/>
  <c r="Y25" i="14"/>
  <c r="X26" i="14"/>
  <c r="Y26" i="14"/>
  <c r="P31" i="5"/>
  <c r="AF20" i="9"/>
  <c r="AG20" i="9"/>
  <c r="Q61" i="20"/>
  <c r="O28" i="6"/>
  <c r="O34" i="6"/>
  <c r="O40" i="6"/>
  <c r="AC13" i="21"/>
  <c r="AC50" i="21" s="1"/>
  <c r="X8" i="5"/>
  <c r="Y8" i="5"/>
  <c r="P42" i="6"/>
  <c r="X16" i="6"/>
  <c r="Y16" i="6"/>
  <c r="X21" i="6"/>
  <c r="Y21" i="6"/>
  <c r="P57" i="6"/>
  <c r="X18" i="6"/>
  <c r="Y18" i="6"/>
  <c r="AC26" i="5"/>
  <c r="X26" i="5"/>
  <c r="Y26" i="5"/>
  <c r="O29" i="14"/>
  <c r="X22" i="21"/>
  <c r="X50" i="4"/>
  <c r="Y50" i="4"/>
  <c r="R28" i="6"/>
  <c r="AC16" i="5"/>
  <c r="AF16" i="5"/>
  <c r="S9" i="5"/>
  <c r="AC7" i="5"/>
  <c r="AF7" i="5"/>
  <c r="AG7" i="5"/>
  <c r="X7" i="5"/>
  <c r="Y7" i="5"/>
  <c r="X15" i="5"/>
  <c r="Y15" i="5"/>
  <c r="AC30" i="5"/>
  <c r="AF30" i="5"/>
  <c r="AG30" i="5"/>
  <c r="AF29" i="5"/>
  <c r="AG29" i="5"/>
  <c r="AB33" i="5"/>
  <c r="AC33" i="10"/>
  <c r="AC17" i="9"/>
  <c r="AF17" i="9"/>
  <c r="AG17" i="9"/>
  <c r="C9" i="2"/>
  <c r="S14" i="1"/>
  <c r="S71" i="1"/>
  <c r="S73" i="1"/>
  <c r="O44" i="4"/>
  <c r="AB44" i="4"/>
  <c r="O45" i="4"/>
  <c r="AB45" i="4"/>
  <c r="R55" i="1"/>
  <c r="N36" i="1"/>
  <c r="N132" i="1"/>
  <c r="N136" i="1"/>
  <c r="T55" i="1"/>
  <c r="P36" i="1"/>
  <c r="P132" i="1"/>
  <c r="P136" i="1"/>
  <c r="T14" i="1"/>
  <c r="T71" i="1"/>
  <c r="T73" i="1"/>
  <c r="R24" i="1"/>
  <c r="R101" i="1"/>
  <c r="R103" i="1"/>
  <c r="O50" i="1"/>
  <c r="N24" i="1"/>
  <c r="N101" i="1"/>
  <c r="N103" i="1"/>
  <c r="O36" i="1"/>
  <c r="O132" i="1"/>
  <c r="O136" i="1"/>
  <c r="P24" i="1"/>
  <c r="P101" i="1"/>
  <c r="P103" i="1"/>
  <c r="Q36" i="1"/>
  <c r="Q132" i="1"/>
  <c r="Q136" i="1"/>
  <c r="P37" i="20"/>
  <c r="O24" i="1"/>
  <c r="O101" i="1"/>
  <c r="O103" i="1"/>
  <c r="P9" i="1"/>
  <c r="U39" i="20"/>
  <c r="U36" i="20"/>
  <c r="U34" i="20"/>
  <c r="Q9" i="1"/>
  <c r="C7" i="2"/>
  <c r="S24" i="1"/>
  <c r="S101" i="1"/>
  <c r="S103" i="1"/>
  <c r="T50" i="1"/>
  <c r="O9" i="1"/>
  <c r="R14" i="1"/>
  <c r="R71" i="1"/>
  <c r="R73" i="1"/>
  <c r="N14" i="1"/>
  <c r="N71" i="1"/>
  <c r="N73" i="1"/>
  <c r="N70" i="1"/>
  <c r="T24" i="1"/>
  <c r="T101" i="1"/>
  <c r="T103" i="1"/>
  <c r="S36" i="1"/>
  <c r="T36" i="1"/>
  <c r="T132" i="1"/>
  <c r="T136" i="1"/>
  <c r="R36" i="1"/>
  <c r="R132" i="1"/>
  <c r="R136" i="1"/>
  <c r="N44" i="4"/>
  <c r="R60" i="1"/>
  <c r="T36" i="20"/>
  <c r="T39" i="20"/>
  <c r="O59" i="1"/>
  <c r="N40" i="20"/>
  <c r="P55" i="1"/>
  <c r="P59" i="1"/>
  <c r="O40" i="20"/>
  <c r="T59" i="1"/>
  <c r="S40" i="20"/>
  <c r="Q55" i="1"/>
  <c r="Q50" i="1"/>
  <c r="X21" i="8"/>
  <c r="Y21" i="8"/>
  <c r="S72" i="20"/>
  <c r="AC26" i="8"/>
  <c r="AC25" i="8"/>
  <c r="R27" i="8"/>
  <c r="R119" i="8"/>
  <c r="R121" i="8"/>
  <c r="AB25" i="8"/>
  <c r="N27" i="8"/>
  <c r="N119" i="8"/>
  <c r="N121" i="8"/>
  <c r="O38" i="8"/>
  <c r="N29" i="8"/>
  <c r="N11" i="6"/>
  <c r="N7" i="6"/>
  <c r="N12" i="6"/>
  <c r="AB8" i="8"/>
  <c r="P12" i="6"/>
  <c r="P7" i="6"/>
  <c r="P11" i="6"/>
  <c r="P13" i="6"/>
  <c r="P29" i="8"/>
  <c r="P30" i="8"/>
  <c r="AB20" i="8"/>
  <c r="N38" i="8"/>
  <c r="X18" i="8"/>
  <c r="Y18" i="8"/>
  <c r="S35" i="8"/>
  <c r="Q9" i="8"/>
  <c r="Q11" i="8"/>
  <c r="Q13" i="8"/>
  <c r="Q70" i="8"/>
  <c r="Q72" i="8"/>
  <c r="Q6" i="6"/>
  <c r="Q27" i="8"/>
  <c r="X20" i="8"/>
  <c r="Y20" i="8"/>
  <c r="S38" i="8"/>
  <c r="E71" i="21"/>
  <c r="X8" i="8"/>
  <c r="Y8" i="8"/>
  <c r="S11" i="6"/>
  <c r="S7" i="6"/>
  <c r="S29" i="8"/>
  <c r="S12" i="6"/>
  <c r="E42" i="21"/>
  <c r="O29" i="8"/>
  <c r="O30" i="8"/>
  <c r="O11" i="6"/>
  <c r="AC75" i="21"/>
  <c r="O12" i="6"/>
  <c r="O7" i="6"/>
  <c r="F42" i="21"/>
  <c r="AC71" i="21"/>
  <c r="X10" i="8"/>
  <c r="Y10" i="8"/>
  <c r="AC19" i="8"/>
  <c r="AC18" i="8"/>
  <c r="R35" i="8"/>
  <c r="N35" i="8"/>
  <c r="O18" i="2"/>
  <c r="AB18" i="8"/>
  <c r="P9" i="8"/>
  <c r="P11" i="8"/>
  <c r="P13" i="8"/>
  <c r="P70" i="8"/>
  <c r="P72" i="8"/>
  <c r="P6" i="6"/>
  <c r="R21" i="8"/>
  <c r="R94" i="8"/>
  <c r="R96" i="8"/>
  <c r="AC16" i="8"/>
  <c r="R32" i="8"/>
  <c r="P27" i="8"/>
  <c r="R38" i="8"/>
  <c r="AC20" i="8"/>
  <c r="R11" i="6"/>
  <c r="R29" i="8"/>
  <c r="R12" i="6"/>
  <c r="AC8" i="8"/>
  <c r="R7" i="6"/>
  <c r="O32" i="8"/>
  <c r="X32" i="8"/>
  <c r="Y32" i="8"/>
  <c r="AB10" i="8"/>
  <c r="AC10" i="8"/>
  <c r="Q35" i="8"/>
  <c r="Q36" i="8"/>
  <c r="X7" i="8"/>
  <c r="Y7" i="8"/>
  <c r="S9" i="8"/>
  <c r="S33" i="8"/>
  <c r="S6" i="6"/>
  <c r="F41" i="21"/>
  <c r="O9" i="8"/>
  <c r="AB9" i="8"/>
  <c r="O6" i="6"/>
  <c r="AC70" i="21"/>
  <c r="AB7" i="8"/>
  <c r="AB26" i="8"/>
  <c r="Q32" i="8"/>
  <c r="Q33" i="8"/>
  <c r="Q21" i="8"/>
  <c r="Q94" i="8"/>
  <c r="Q96" i="8"/>
  <c r="N11" i="8"/>
  <c r="X25" i="8"/>
  <c r="Y25" i="8"/>
  <c r="S27" i="8"/>
  <c r="S119" i="8"/>
  <c r="S121" i="8"/>
  <c r="O27" i="8"/>
  <c r="Q38" i="8"/>
  <c r="Q39" i="8"/>
  <c r="Q11" i="6"/>
  <c r="Q12" i="6"/>
  <c r="Q29" i="8"/>
  <c r="Q30" i="8"/>
  <c r="Q7" i="6"/>
  <c r="AC17" i="8"/>
  <c r="AB17" i="8"/>
  <c r="X26" i="8"/>
  <c r="Y26" i="8"/>
  <c r="P38" i="8"/>
  <c r="O20" i="2"/>
  <c r="AB19" i="8"/>
  <c r="P35" i="8"/>
  <c r="AC7" i="8"/>
  <c r="R9" i="8"/>
  <c r="R6" i="6"/>
  <c r="N21" i="8"/>
  <c r="N94" i="8"/>
  <c r="N96" i="8"/>
  <c r="N32" i="8"/>
  <c r="AB16" i="8"/>
  <c r="R44" i="4"/>
  <c r="S132" i="1"/>
  <c r="S136" i="1"/>
  <c r="Q45" i="4"/>
  <c r="Q44" i="4"/>
  <c r="P45" i="4"/>
  <c r="P44" i="4"/>
  <c r="T70" i="1"/>
  <c r="S47" i="4"/>
  <c r="X47" i="4"/>
  <c r="Q37" i="1"/>
  <c r="N45" i="4"/>
  <c r="R70" i="1"/>
  <c r="R45" i="4"/>
  <c r="S70" i="1"/>
  <c r="P149" i="10"/>
  <c r="P151" i="10"/>
  <c r="P79" i="20"/>
  <c r="R83" i="10"/>
  <c r="R85" i="10"/>
  <c r="AC21" i="10"/>
  <c r="S83" i="10"/>
  <c r="S85" i="10"/>
  <c r="AF15" i="10"/>
  <c r="AG15" i="10"/>
  <c r="Q83" i="10"/>
  <c r="Q85" i="10"/>
  <c r="Q78" i="20"/>
  <c r="P78" i="20"/>
  <c r="P83" i="10"/>
  <c r="P85" i="10"/>
  <c r="S51" i="14"/>
  <c r="S56" i="14"/>
  <c r="S50" i="14"/>
  <c r="S29" i="14"/>
  <c r="X17" i="14"/>
  <c r="Y17" i="14"/>
  <c r="N50" i="14"/>
  <c r="P50" i="14"/>
  <c r="X29" i="14"/>
  <c r="Y29" i="14"/>
  <c r="X9" i="14"/>
  <c r="Y9" i="14"/>
  <c r="AB17" i="14"/>
  <c r="R29" i="14"/>
  <c r="AC29" i="14"/>
  <c r="O21" i="12"/>
  <c r="O91" i="5"/>
  <c r="O93" i="5"/>
  <c r="O56" i="20"/>
  <c r="P36" i="19"/>
  <c r="P10" i="19"/>
  <c r="P38" i="19"/>
  <c r="O3" i="19"/>
  <c r="P22" i="19"/>
  <c r="P9" i="19"/>
  <c r="P6" i="19"/>
  <c r="P21" i="19"/>
  <c r="P15" i="19"/>
  <c r="P30" i="19"/>
  <c r="P18" i="19"/>
  <c r="P23" i="19"/>
  <c r="P24" i="19"/>
  <c r="P29" i="19"/>
  <c r="P11" i="19"/>
  <c r="P34" i="19"/>
  <c r="P56" i="20"/>
  <c r="P91" i="5"/>
  <c r="P93" i="5"/>
  <c r="AF7" i="8"/>
  <c r="AG7" i="8"/>
  <c r="AF20" i="8"/>
  <c r="AG20" i="8"/>
  <c r="AF12" i="8"/>
  <c r="AG12" i="8"/>
  <c r="Q25" i="19"/>
  <c r="P36" i="8"/>
  <c r="AB8" i="12"/>
  <c r="AC14" i="9"/>
  <c r="AF14" i="9"/>
  <c r="AG14" i="9"/>
  <c r="AB42" i="12"/>
  <c r="AB40" i="12"/>
  <c r="AB39" i="10"/>
  <c r="AB38" i="12"/>
  <c r="AF38" i="12"/>
  <c r="AG38" i="12"/>
  <c r="AF22" i="5"/>
  <c r="AG22" i="5"/>
  <c r="AC24" i="9"/>
  <c r="AC17" i="14"/>
  <c r="AF17" i="14"/>
  <c r="AG17" i="14"/>
  <c r="Q91" i="5"/>
  <c r="Q93" i="5"/>
  <c r="AB25" i="12"/>
  <c r="AF25" i="12"/>
  <c r="AG25" i="12"/>
  <c r="AF8" i="5"/>
  <c r="AG8" i="5"/>
  <c r="Q74" i="20"/>
  <c r="Q119" i="8"/>
  <c r="Q121" i="8"/>
  <c r="X12" i="6"/>
  <c r="Y12" i="6"/>
  <c r="Q69" i="8"/>
  <c r="P119" i="8"/>
  <c r="P121" i="8"/>
  <c r="P69" i="8"/>
  <c r="O72" i="20"/>
  <c r="O94" i="8"/>
  <c r="O96" i="8"/>
  <c r="O119" i="8"/>
  <c r="O121" i="8"/>
  <c r="O74" i="20"/>
  <c r="AF25" i="8"/>
  <c r="AG25" i="8"/>
  <c r="P30" i="12"/>
  <c r="P40" i="12"/>
  <c r="S87" i="20"/>
  <c r="P87" i="20"/>
  <c r="AB9" i="14"/>
  <c r="AF26" i="10"/>
  <c r="AG26" i="10"/>
  <c r="N78" i="20"/>
  <c r="AB21" i="10"/>
  <c r="AF21" i="10"/>
  <c r="AG21" i="10"/>
  <c r="O22" i="10"/>
  <c r="O149" i="10"/>
  <c r="O78" i="20"/>
  <c r="F59" i="21"/>
  <c r="AB12" i="10"/>
  <c r="N22" i="10"/>
  <c r="N149" i="10"/>
  <c r="X21" i="10"/>
  <c r="Y21" i="10"/>
  <c r="S78" i="20"/>
  <c r="X12" i="10"/>
  <c r="Y12" i="10"/>
  <c r="S22" i="10"/>
  <c r="S149" i="10"/>
  <c r="P77" i="20"/>
  <c r="R22" i="10"/>
  <c r="R149" i="10"/>
  <c r="AC12" i="10"/>
  <c r="X29" i="10"/>
  <c r="Y29" i="10"/>
  <c r="Q77" i="20"/>
  <c r="N29" i="10"/>
  <c r="AB29" i="10"/>
  <c r="AF29" i="10"/>
  <c r="AG29" i="10"/>
  <c r="AF28" i="10"/>
  <c r="AG28" i="10"/>
  <c r="X28" i="10"/>
  <c r="Y28" i="10"/>
  <c r="Q22" i="10"/>
  <c r="Q149" i="10"/>
  <c r="AB41" i="6"/>
  <c r="AB42" i="6"/>
  <c r="AB29" i="6"/>
  <c r="AB21" i="6"/>
  <c r="AB17" i="6"/>
  <c r="AB35" i="6"/>
  <c r="AB22" i="6"/>
  <c r="AF33" i="5"/>
  <c r="AG33" i="5"/>
  <c r="O27" i="6"/>
  <c r="O30" i="6"/>
  <c r="O32" i="5"/>
  <c r="F6" i="21"/>
  <c r="P12" i="12"/>
  <c r="AB29" i="12"/>
  <c r="AF29" i="12"/>
  <c r="AG29" i="12"/>
  <c r="AB44" i="12"/>
  <c r="AB38" i="10"/>
  <c r="N20" i="12"/>
  <c r="AB20" i="12"/>
  <c r="AF20" i="12"/>
  <c r="AG20" i="12"/>
  <c r="AB19" i="12"/>
  <c r="AF19" i="12"/>
  <c r="AG19" i="12"/>
  <c r="AB9" i="12"/>
  <c r="AB34" i="12"/>
  <c r="AF34" i="12"/>
  <c r="AG34" i="12"/>
  <c r="AB27" i="12"/>
  <c r="O31" i="12"/>
  <c r="O30" i="12"/>
  <c r="F36" i="21"/>
  <c r="X40" i="5"/>
  <c r="Y40" i="5"/>
  <c r="AC35" i="6"/>
  <c r="AC42" i="6"/>
  <c r="AC29" i="6"/>
  <c r="AC21" i="6"/>
  <c r="AC17" i="6"/>
  <c r="AC23" i="6"/>
  <c r="AC22" i="6"/>
  <c r="AC41" i="6"/>
  <c r="AC24" i="6"/>
  <c r="AF10" i="5"/>
  <c r="AG10" i="5"/>
  <c r="AC28" i="14"/>
  <c r="AF28" i="14"/>
  <c r="AG28" i="14"/>
  <c r="N22" i="12"/>
  <c r="AB16" i="12"/>
  <c r="P86" i="20"/>
  <c r="R22" i="12"/>
  <c r="P46" i="12"/>
  <c r="P45" i="12"/>
  <c r="P37" i="10"/>
  <c r="P39" i="10"/>
  <c r="N18" i="6"/>
  <c r="AB16" i="6"/>
  <c r="AB23" i="6"/>
  <c r="R45" i="14"/>
  <c r="Q86" i="20"/>
  <c r="Q27" i="6"/>
  <c r="Q30" i="6"/>
  <c r="Q67" i="20"/>
  <c r="Q32" i="5"/>
  <c r="AF13" i="9"/>
  <c r="AG13" i="9"/>
  <c r="AF10" i="8"/>
  <c r="AG10" i="8"/>
  <c r="X28" i="21"/>
  <c r="O45" i="14"/>
  <c r="P31" i="12"/>
  <c r="AB37" i="12"/>
  <c r="AF37" i="12"/>
  <c r="AG37" i="12"/>
  <c r="AB35" i="12"/>
  <c r="AF35" i="12"/>
  <c r="AG35" i="12"/>
  <c r="AB51" i="12"/>
  <c r="AB24" i="6"/>
  <c r="R18" i="6"/>
  <c r="AC16" i="6"/>
  <c r="AF16" i="6"/>
  <c r="AG16" i="6"/>
  <c r="S46" i="12"/>
  <c r="S39" i="10"/>
  <c r="AC40" i="12"/>
  <c r="AC18" i="9"/>
  <c r="AF18" i="9"/>
  <c r="AG18" i="9"/>
  <c r="AF17" i="8"/>
  <c r="AG17" i="8"/>
  <c r="O86" i="20"/>
  <c r="AF38" i="5"/>
  <c r="AG38" i="5"/>
  <c r="N56" i="20"/>
  <c r="AB31" i="5"/>
  <c r="P18" i="12"/>
  <c r="P20" i="12"/>
  <c r="P33" i="10"/>
  <c r="AB49" i="12"/>
  <c r="AF49" i="12"/>
  <c r="AG49" i="12"/>
  <c r="AB10" i="12"/>
  <c r="AF10" i="12"/>
  <c r="AG10" i="12"/>
  <c r="AB14" i="12"/>
  <c r="AF14" i="12"/>
  <c r="AG14" i="12"/>
  <c r="P32" i="5"/>
  <c r="P27" i="6"/>
  <c r="P30" i="6"/>
  <c r="P67" i="20"/>
  <c r="R86" i="20"/>
  <c r="AB24" i="9"/>
  <c r="AF24" i="9"/>
  <c r="AG24" i="9"/>
  <c r="R18" i="5"/>
  <c r="R59" i="5"/>
  <c r="R61" i="5"/>
  <c r="I9" i="2"/>
  <c r="AC9" i="5"/>
  <c r="AB40" i="5"/>
  <c r="S31" i="12"/>
  <c r="X31" i="12"/>
  <c r="AC27" i="12"/>
  <c r="S30" i="12"/>
  <c r="S44" i="12"/>
  <c r="AC42" i="12"/>
  <c r="AF42" i="12"/>
  <c r="AG42" i="12"/>
  <c r="AF37" i="5"/>
  <c r="AG37" i="5"/>
  <c r="S18" i="5"/>
  <c r="S59" i="5"/>
  <c r="S61" i="5"/>
  <c r="X9" i="5"/>
  <c r="Y9" i="5"/>
  <c r="AF20" i="5"/>
  <c r="AG20" i="5"/>
  <c r="N45" i="12"/>
  <c r="AC32" i="10"/>
  <c r="AB36" i="12"/>
  <c r="AF36" i="12"/>
  <c r="AG36" i="12"/>
  <c r="AB13" i="12"/>
  <c r="AF13" i="12"/>
  <c r="AG13" i="12"/>
  <c r="AB26" i="12"/>
  <c r="AF26" i="12"/>
  <c r="AG26" i="12"/>
  <c r="AB29" i="14"/>
  <c r="N45" i="14"/>
  <c r="AF8" i="12"/>
  <c r="AG8" i="12"/>
  <c r="AC40" i="5"/>
  <c r="S45" i="14"/>
  <c r="AC7" i="6"/>
  <c r="O39" i="10"/>
  <c r="F66" i="21"/>
  <c r="O46" i="12"/>
  <c r="O45" i="12"/>
  <c r="O37" i="10"/>
  <c r="R56" i="20"/>
  <c r="AC31" i="5"/>
  <c r="X40" i="12"/>
  <c r="Y40" i="12"/>
  <c r="AB18" i="12"/>
  <c r="AF18" i="12"/>
  <c r="AG18" i="12"/>
  <c r="AB12" i="12"/>
  <c r="AF12" i="12"/>
  <c r="AG12" i="12"/>
  <c r="AB50" i="12"/>
  <c r="AF50" i="12"/>
  <c r="AG50" i="12"/>
  <c r="S34" i="10"/>
  <c r="S32" i="10"/>
  <c r="S16" i="12"/>
  <c r="AC16" i="12"/>
  <c r="N34" i="6"/>
  <c r="AB28" i="6"/>
  <c r="S86" i="20"/>
  <c r="AF26" i="5"/>
  <c r="AG26" i="5"/>
  <c r="P39" i="8"/>
  <c r="AF8" i="8"/>
  <c r="AG8" i="8"/>
  <c r="R34" i="6"/>
  <c r="AC28" i="6"/>
  <c r="AC21" i="14"/>
  <c r="AF21" i="14"/>
  <c r="AG21" i="14"/>
  <c r="AC25" i="14"/>
  <c r="AF25" i="14"/>
  <c r="AG25" i="14"/>
  <c r="AC26" i="14"/>
  <c r="AF26" i="14"/>
  <c r="AG26" i="14"/>
  <c r="AC13" i="14"/>
  <c r="AF13" i="14"/>
  <c r="AG13" i="14"/>
  <c r="AC8" i="14"/>
  <c r="AF8" i="14"/>
  <c r="AG8" i="14"/>
  <c r="AC22" i="14"/>
  <c r="AF22" i="14"/>
  <c r="AG22" i="14"/>
  <c r="AC7" i="14"/>
  <c r="AF7" i="14"/>
  <c r="AG7" i="14"/>
  <c r="AC10" i="14"/>
  <c r="AF10" i="14"/>
  <c r="AG10" i="14"/>
  <c r="AC12" i="14"/>
  <c r="AF12" i="14"/>
  <c r="AG12" i="14"/>
  <c r="AC9" i="14"/>
  <c r="AC15" i="14"/>
  <c r="AF15" i="14"/>
  <c r="AG15" i="14"/>
  <c r="AC14" i="14"/>
  <c r="AF14" i="14"/>
  <c r="AG14" i="14"/>
  <c r="AC20" i="14"/>
  <c r="AF20" i="14"/>
  <c r="AG20" i="14"/>
  <c r="AC24" i="14"/>
  <c r="AF24" i="14"/>
  <c r="AG24" i="14"/>
  <c r="AC23" i="14"/>
  <c r="AF23" i="14"/>
  <c r="AG23" i="14"/>
  <c r="AC27" i="14"/>
  <c r="AF27" i="14"/>
  <c r="AG27" i="14"/>
  <c r="AC16" i="14"/>
  <c r="AF16" i="14"/>
  <c r="AG16" i="14"/>
  <c r="S56" i="20"/>
  <c r="X31" i="5"/>
  <c r="Y31" i="5"/>
  <c r="AF8" i="9"/>
  <c r="AG8" i="9"/>
  <c r="AC10" i="9"/>
  <c r="AF39" i="5"/>
  <c r="AG39" i="5"/>
  <c r="P41" i="10"/>
  <c r="P50" i="12"/>
  <c r="AB39" i="12"/>
  <c r="AF39" i="12"/>
  <c r="AG39" i="12"/>
  <c r="AB28" i="12"/>
  <c r="AF28" i="12"/>
  <c r="AG28" i="12"/>
  <c r="AB11" i="12"/>
  <c r="AF11" i="12"/>
  <c r="AG11" i="12"/>
  <c r="AB10" i="9"/>
  <c r="N86" i="20"/>
  <c r="N18" i="5"/>
  <c r="N59" i="5"/>
  <c r="N61" i="5"/>
  <c r="AB9" i="5"/>
  <c r="AB15" i="12"/>
  <c r="AF15" i="12"/>
  <c r="AG15" i="12"/>
  <c r="AF12" i="5"/>
  <c r="AG12" i="5"/>
  <c r="AC15" i="9"/>
  <c r="AF15" i="9"/>
  <c r="AG15" i="9"/>
  <c r="N37" i="1"/>
  <c r="T37" i="1"/>
  <c r="S37" i="20"/>
  <c r="O14" i="1"/>
  <c r="O71" i="1"/>
  <c r="O73" i="1"/>
  <c r="O70" i="1"/>
  <c r="N47" i="4"/>
  <c r="N37" i="20"/>
  <c r="O37" i="1"/>
  <c r="S39" i="20"/>
  <c r="S38" i="20"/>
  <c r="R40" i="1"/>
  <c r="Q36" i="20"/>
  <c r="O36" i="20"/>
  <c r="P40" i="1"/>
  <c r="S40" i="1"/>
  <c r="R36" i="20"/>
  <c r="R47" i="4"/>
  <c r="R39" i="20"/>
  <c r="R38" i="20"/>
  <c r="T40" i="1"/>
  <c r="S36" i="20"/>
  <c r="S44" i="4"/>
  <c r="S45" i="4"/>
  <c r="P47" i="4"/>
  <c r="Q14" i="1"/>
  <c r="Q71" i="1"/>
  <c r="Q73" i="1"/>
  <c r="Q70" i="1"/>
  <c r="Q59" i="1"/>
  <c r="P40" i="20"/>
  <c r="Q39" i="20"/>
  <c r="Q38" i="20"/>
  <c r="P36" i="20"/>
  <c r="Q40" i="1"/>
  <c r="R37" i="1"/>
  <c r="Q37" i="20"/>
  <c r="R37" i="20"/>
  <c r="S37" i="1"/>
  <c r="N36" i="20"/>
  <c r="O40" i="1"/>
  <c r="Q47" i="4"/>
  <c r="T34" i="20"/>
  <c r="R59" i="1"/>
  <c r="Q40" i="20"/>
  <c r="S55" i="1"/>
  <c r="P14" i="1"/>
  <c r="P71" i="1"/>
  <c r="P73" i="1"/>
  <c r="P70" i="1"/>
  <c r="O47" i="4"/>
  <c r="AB47" i="4"/>
  <c r="P37" i="1"/>
  <c r="O37" i="20"/>
  <c r="N40" i="1"/>
  <c r="N72" i="20"/>
  <c r="AB21" i="8"/>
  <c r="AC11" i="6"/>
  <c r="R13" i="6"/>
  <c r="P50" i="20"/>
  <c r="P22" i="8"/>
  <c r="P129" i="8"/>
  <c r="AB12" i="6"/>
  <c r="R74" i="20"/>
  <c r="AC27" i="8"/>
  <c r="S39" i="8"/>
  <c r="X38" i="8"/>
  <c r="Y38" i="8"/>
  <c r="AB38" i="8"/>
  <c r="AB39" i="8"/>
  <c r="N39" i="8"/>
  <c r="AB7" i="6"/>
  <c r="N8" i="6"/>
  <c r="R39" i="8"/>
  <c r="AC38" i="8"/>
  <c r="S30" i="8"/>
  <c r="X29" i="8"/>
  <c r="Y29" i="8"/>
  <c r="N13" i="6"/>
  <c r="AB11" i="6"/>
  <c r="AF26" i="8"/>
  <c r="AG26" i="8"/>
  <c r="N36" i="8"/>
  <c r="AB35" i="8"/>
  <c r="AB36" i="8"/>
  <c r="X7" i="6"/>
  <c r="Y7" i="6"/>
  <c r="N30" i="8"/>
  <c r="AB29" i="8"/>
  <c r="AB30" i="8"/>
  <c r="R11" i="8"/>
  <c r="AC9" i="8"/>
  <c r="AF9" i="8"/>
  <c r="AG9" i="8"/>
  <c r="O8" i="6"/>
  <c r="AB6" i="6"/>
  <c r="N13" i="8"/>
  <c r="N70" i="8"/>
  <c r="N72" i="8"/>
  <c r="N69" i="8"/>
  <c r="O11" i="8"/>
  <c r="AB11" i="8"/>
  <c r="Q72" i="20"/>
  <c r="O21" i="2"/>
  <c r="O33" i="8"/>
  <c r="Q13" i="6"/>
  <c r="AC32" i="8"/>
  <c r="R33" i="8"/>
  <c r="R36" i="8"/>
  <c r="AC35" i="8"/>
  <c r="Q8" i="6"/>
  <c r="AB32" i="8"/>
  <c r="AB33" i="8"/>
  <c r="N33" i="8"/>
  <c r="S8" i="6"/>
  <c r="X8" i="6"/>
  <c r="Y8" i="6"/>
  <c r="X6" i="6"/>
  <c r="Y6" i="6"/>
  <c r="AF16" i="8"/>
  <c r="AG16" i="8"/>
  <c r="AF18" i="8"/>
  <c r="AG18" i="8"/>
  <c r="X11" i="6"/>
  <c r="Y11" i="6"/>
  <c r="S13" i="6"/>
  <c r="Q22" i="8"/>
  <c r="Q129" i="8"/>
  <c r="Q50" i="20"/>
  <c r="O39" i="8"/>
  <c r="E43" i="21"/>
  <c r="E50" i="21" s="1"/>
  <c r="S11" i="8"/>
  <c r="X9" i="8"/>
  <c r="Y9" i="8"/>
  <c r="AC12" i="6"/>
  <c r="R72" i="20"/>
  <c r="AC21" i="8"/>
  <c r="AF19" i="8"/>
  <c r="AG19" i="8"/>
  <c r="O13" i="6"/>
  <c r="AB27" i="8"/>
  <c r="N74" i="20"/>
  <c r="O36" i="8"/>
  <c r="R8" i="6"/>
  <c r="AC6" i="6"/>
  <c r="S74" i="20"/>
  <c r="X27" i="8"/>
  <c r="Y27" i="8"/>
  <c r="R30" i="8"/>
  <c r="AC29" i="8"/>
  <c r="P8" i="6"/>
  <c r="S36" i="8"/>
  <c r="X35" i="8"/>
  <c r="Y35" i="8"/>
  <c r="P33" i="8"/>
  <c r="AC47" i="4"/>
  <c r="AF47" i="4"/>
  <c r="P61" i="10"/>
  <c r="R78" i="20"/>
  <c r="AF9" i="14"/>
  <c r="AG9" i="14"/>
  <c r="P65" i="20"/>
  <c r="AF12" i="6"/>
  <c r="AG12" i="6"/>
  <c r="P74" i="20"/>
  <c r="Q56" i="20"/>
  <c r="P12" i="19"/>
  <c r="AF7" i="6"/>
  <c r="AG7" i="6"/>
  <c r="P31" i="19"/>
  <c r="AF24" i="6"/>
  <c r="AG24" i="6"/>
  <c r="AB46" i="12"/>
  <c r="P25" i="19"/>
  <c r="O22" i="19"/>
  <c r="O10" i="19"/>
  <c r="O9" i="19"/>
  <c r="O34" i="19"/>
  <c r="O29" i="19"/>
  <c r="O15" i="19"/>
  <c r="O6" i="19"/>
  <c r="O23" i="19"/>
  <c r="O21" i="19"/>
  <c r="O11" i="19"/>
  <c r="O38" i="19"/>
  <c r="O24" i="19"/>
  <c r="O30" i="19"/>
  <c r="N3" i="19"/>
  <c r="O18" i="19"/>
  <c r="O36" i="19"/>
  <c r="AC8" i="6"/>
  <c r="AF16" i="12"/>
  <c r="AG16" i="12"/>
  <c r="AF21" i="6"/>
  <c r="AG21" i="6"/>
  <c r="R151" i="10"/>
  <c r="R79" i="20"/>
  <c r="AC22" i="10"/>
  <c r="R53" i="20"/>
  <c r="O77" i="20"/>
  <c r="X27" i="21"/>
  <c r="O151" i="10"/>
  <c r="O53" i="20"/>
  <c r="AB22" i="10"/>
  <c r="N151" i="10"/>
  <c r="N53" i="20"/>
  <c r="S77" i="20"/>
  <c r="N77" i="20"/>
  <c r="X22" i="10"/>
  <c r="Y22" i="10"/>
  <c r="S151" i="10"/>
  <c r="S53" i="20"/>
  <c r="Q151" i="10"/>
  <c r="Q61" i="10"/>
  <c r="Q53" i="20"/>
  <c r="R77" i="20"/>
  <c r="AF12" i="10"/>
  <c r="AG12" i="10"/>
  <c r="AF27" i="12"/>
  <c r="AG27" i="12"/>
  <c r="AC31" i="12"/>
  <c r="AC30" i="12"/>
  <c r="R64" i="20"/>
  <c r="AC18" i="6"/>
  <c r="O55" i="20"/>
  <c r="O67" i="20"/>
  <c r="Q65" i="20"/>
  <c r="AB34" i="10"/>
  <c r="AB32" i="10"/>
  <c r="S27" i="6"/>
  <c r="S32" i="5"/>
  <c r="X18" i="5"/>
  <c r="Y18" i="5"/>
  <c r="X30" i="12"/>
  <c r="Y30" i="12"/>
  <c r="N27" i="6"/>
  <c r="AB18" i="5"/>
  <c r="N32" i="5"/>
  <c r="R21" i="12"/>
  <c r="P34" i="5"/>
  <c r="P33" i="6"/>
  <c r="P51" i="20"/>
  <c r="AF51" i="12"/>
  <c r="AG51" i="12"/>
  <c r="AB41" i="10"/>
  <c r="AF29" i="14"/>
  <c r="AG29" i="14"/>
  <c r="R40" i="6"/>
  <c r="AC40" i="6"/>
  <c r="AC34" i="6"/>
  <c r="N40" i="6"/>
  <c r="AB40" i="6"/>
  <c r="AB34" i="6"/>
  <c r="AF31" i="5"/>
  <c r="AG31" i="5"/>
  <c r="AF40" i="5"/>
  <c r="AG40" i="5"/>
  <c r="AF9" i="5"/>
  <c r="AG9" i="5"/>
  <c r="P55" i="20"/>
  <c r="AF40" i="12"/>
  <c r="AG40" i="12"/>
  <c r="AC39" i="10"/>
  <c r="AB30" i="12"/>
  <c r="AB31" i="12"/>
  <c r="P34" i="10"/>
  <c r="P32" i="10"/>
  <c r="P16" i="12"/>
  <c r="P22" i="12"/>
  <c r="P21" i="12"/>
  <c r="Q55" i="20"/>
  <c r="X13" i="6"/>
  <c r="Y13" i="6"/>
  <c r="AF10" i="9"/>
  <c r="AG10" i="9"/>
  <c r="S22" i="12"/>
  <c r="AC22" i="12"/>
  <c r="X16" i="12"/>
  <c r="Y16" i="12"/>
  <c r="N37" i="10"/>
  <c r="AB45" i="12"/>
  <c r="AB37" i="10"/>
  <c r="S38" i="10"/>
  <c r="AC44" i="12"/>
  <c r="X44" i="12"/>
  <c r="Y44" i="12"/>
  <c r="R32" i="5"/>
  <c r="R27" i="6"/>
  <c r="AC18" i="5"/>
  <c r="S45" i="12"/>
  <c r="AC46" i="12"/>
  <c r="AF46" i="12"/>
  <c r="AG46" i="12"/>
  <c r="X46" i="12"/>
  <c r="Y46" i="12"/>
  <c r="Q33" i="6"/>
  <c r="Q34" i="5"/>
  <c r="Q51" i="20"/>
  <c r="N64" i="20"/>
  <c r="AB18" i="6"/>
  <c r="N21" i="12"/>
  <c r="AB21" i="12"/>
  <c r="AB22" i="12"/>
  <c r="AF9" i="12"/>
  <c r="AG9" i="12"/>
  <c r="AB33" i="10"/>
  <c r="O34" i="5"/>
  <c r="O33" i="6"/>
  <c r="O51" i="20"/>
  <c r="N38" i="20"/>
  <c r="N39" i="20"/>
  <c r="P35" i="4"/>
  <c r="P38" i="4"/>
  <c r="P43" i="1"/>
  <c r="N35" i="4"/>
  <c r="N43" i="1"/>
  <c r="S59" i="1"/>
  <c r="R40" i="20"/>
  <c r="O43" i="1"/>
  <c r="O35" i="4"/>
  <c r="X44" i="4"/>
  <c r="AC44" i="4"/>
  <c r="AF44" i="4"/>
  <c r="Q43" i="1"/>
  <c r="Q35" i="4"/>
  <c r="R35" i="4"/>
  <c r="R43" i="1"/>
  <c r="S35" i="4"/>
  <c r="S43" i="1"/>
  <c r="X45" i="4"/>
  <c r="AC45" i="4"/>
  <c r="AF45" i="4"/>
  <c r="O39" i="20"/>
  <c r="O38" i="20"/>
  <c r="P39" i="20"/>
  <c r="P38" i="20"/>
  <c r="T43" i="1"/>
  <c r="S13" i="8"/>
  <c r="S70" i="8"/>
  <c r="S72" i="8"/>
  <c r="S69" i="8"/>
  <c r="X11" i="8"/>
  <c r="Y11" i="8"/>
  <c r="AF21" i="8"/>
  <c r="AG21" i="8"/>
  <c r="AC77" i="21"/>
  <c r="O13" i="8"/>
  <c r="P71" i="20"/>
  <c r="AF6" i="6"/>
  <c r="AG6" i="6"/>
  <c r="Q71" i="20"/>
  <c r="Q131" i="8"/>
  <c r="Q73" i="20"/>
  <c r="Q41" i="8"/>
  <c r="Q42" i="8"/>
  <c r="Q52" i="20"/>
  <c r="N50" i="20"/>
  <c r="N22" i="8"/>
  <c r="N129" i="8"/>
  <c r="AC39" i="8"/>
  <c r="AF38" i="8"/>
  <c r="AG38" i="8"/>
  <c r="AF27" i="8"/>
  <c r="AG27" i="8"/>
  <c r="P52" i="20"/>
  <c r="P131" i="8"/>
  <c r="P73" i="20"/>
  <c r="P41" i="8"/>
  <c r="P42" i="8"/>
  <c r="AB8" i="6"/>
  <c r="AF8" i="6"/>
  <c r="AG8" i="6"/>
  <c r="AC13" i="6"/>
  <c r="AC30" i="8"/>
  <c r="AF29" i="8"/>
  <c r="AG29" i="8"/>
  <c r="AC36" i="8"/>
  <c r="AF35" i="8"/>
  <c r="AG35" i="8"/>
  <c r="AF11" i="6"/>
  <c r="AG11" i="6"/>
  <c r="AF32" i="8"/>
  <c r="AG32" i="8"/>
  <c r="AC33" i="8"/>
  <c r="R13" i="8"/>
  <c r="R70" i="8"/>
  <c r="R72" i="8"/>
  <c r="R69" i="8"/>
  <c r="AC11" i="8"/>
  <c r="AF11" i="8"/>
  <c r="AG11" i="8"/>
  <c r="AB13" i="6"/>
  <c r="N79" i="20"/>
  <c r="N61" i="10"/>
  <c r="S79" i="20"/>
  <c r="S61" i="10"/>
  <c r="O79" i="20"/>
  <c r="O61" i="10"/>
  <c r="R61" i="10"/>
  <c r="AF18" i="5"/>
  <c r="AG18" i="5"/>
  <c r="O25" i="19"/>
  <c r="P158" i="5"/>
  <c r="P134" i="5"/>
  <c r="P136" i="5"/>
  <c r="P58" i="5"/>
  <c r="Q134" i="5"/>
  <c r="Q136" i="5"/>
  <c r="Q58" i="5"/>
  <c r="Q158" i="5"/>
  <c r="N29" i="19"/>
  <c r="N22" i="19"/>
  <c r="X14" i="21"/>
  <c r="N11" i="19"/>
  <c r="F37" i="21"/>
  <c r="X13" i="21" s="1"/>
  <c r="N34" i="19"/>
  <c r="N23" i="19"/>
  <c r="F29" i="21"/>
  <c r="N24" i="19"/>
  <c r="F22" i="21"/>
  <c r="X8" i="21" s="1"/>
  <c r="F23" i="21"/>
  <c r="X9" i="21" s="1"/>
  <c r="N6" i="19"/>
  <c r="N9" i="19"/>
  <c r="N12" i="19"/>
  <c r="N18" i="19"/>
  <c r="F24" i="21"/>
  <c r="N10" i="19"/>
  <c r="E30" i="21"/>
  <c r="Q38" i="21"/>
  <c r="N15" i="19"/>
  <c r="N36" i="19"/>
  <c r="F35" i="21"/>
  <c r="X12" i="21" s="1"/>
  <c r="N30" i="19"/>
  <c r="N38" i="19"/>
  <c r="F28" i="21"/>
  <c r="F30" i="21"/>
  <c r="N21" i="19"/>
  <c r="O158" i="5"/>
  <c r="O134" i="5"/>
  <c r="O136" i="5"/>
  <c r="O58" i="5"/>
  <c r="O31" i="19"/>
  <c r="O12" i="19"/>
  <c r="AB13" i="8"/>
  <c r="O70" i="8"/>
  <c r="O72" i="8"/>
  <c r="O69" i="8"/>
  <c r="Q79" i="20"/>
  <c r="AF22" i="10"/>
  <c r="AG22" i="10"/>
  <c r="Q36" i="6"/>
  <c r="Q159" i="5"/>
  <c r="N55" i="20"/>
  <c r="S55" i="20"/>
  <c r="Q39" i="6"/>
  <c r="Q43" i="6"/>
  <c r="Q14" i="4"/>
  <c r="Q57" i="20"/>
  <c r="R47" i="1"/>
  <c r="Q42" i="20"/>
  <c r="Q9" i="4"/>
  <c r="Q59" i="20"/>
  <c r="Q58" i="20"/>
  <c r="AF44" i="12"/>
  <c r="AG44" i="12"/>
  <c r="AC38" i="10"/>
  <c r="P36" i="6"/>
  <c r="P159" i="5"/>
  <c r="S30" i="6"/>
  <c r="X27" i="6"/>
  <c r="Y27" i="6"/>
  <c r="AF18" i="6"/>
  <c r="AG18" i="6"/>
  <c r="O38" i="4"/>
  <c r="F11" i="21"/>
  <c r="P39" i="6"/>
  <c r="P43" i="6"/>
  <c r="P14" i="4"/>
  <c r="Q47" i="1"/>
  <c r="P42" i="20"/>
  <c r="P57" i="20"/>
  <c r="P58" i="20"/>
  <c r="P59" i="20"/>
  <c r="P9" i="4"/>
  <c r="S37" i="10"/>
  <c r="AC45" i="12"/>
  <c r="X45" i="12"/>
  <c r="Y45" i="12"/>
  <c r="AF22" i="12"/>
  <c r="AG22" i="12"/>
  <c r="O39" i="6"/>
  <c r="O43" i="6"/>
  <c r="O14" i="4"/>
  <c r="F7" i="21"/>
  <c r="P47" i="1"/>
  <c r="O42" i="20"/>
  <c r="O57" i="20"/>
  <c r="O9" i="4"/>
  <c r="O59" i="20"/>
  <c r="O58" i="20"/>
  <c r="R33" i="6"/>
  <c r="R34" i="5"/>
  <c r="R51" i="20"/>
  <c r="AC32" i="5"/>
  <c r="N30" i="6"/>
  <c r="AB27" i="6"/>
  <c r="AF30" i="12"/>
  <c r="AG30" i="12"/>
  <c r="N34" i="5"/>
  <c r="N51" i="20"/>
  <c r="N33" i="6"/>
  <c r="AB32" i="5"/>
  <c r="AF31" i="12"/>
  <c r="R30" i="6"/>
  <c r="AC27" i="6"/>
  <c r="Q38" i="4"/>
  <c r="O36" i="6"/>
  <c r="O68" i="20"/>
  <c r="R55" i="20"/>
  <c r="S21" i="12"/>
  <c r="X21" i="12"/>
  <c r="Y21" i="12"/>
  <c r="X22" i="12"/>
  <c r="Y22" i="12"/>
  <c r="S33" i="6"/>
  <c r="S34" i="5"/>
  <c r="S51" i="20"/>
  <c r="X32" i="5"/>
  <c r="Y32" i="5"/>
  <c r="R38" i="4"/>
  <c r="AC35" i="4"/>
  <c r="T52" i="1"/>
  <c r="S51" i="4"/>
  <c r="S48" i="4"/>
  <c r="X35" i="4"/>
  <c r="Y35" i="4"/>
  <c r="S38" i="4"/>
  <c r="O36" i="4"/>
  <c r="N51" i="4"/>
  <c r="P46" i="1"/>
  <c r="O52" i="1"/>
  <c r="N48" i="4"/>
  <c r="O46" i="1"/>
  <c r="N36" i="4"/>
  <c r="O51" i="4"/>
  <c r="AB51" i="4"/>
  <c r="P52" i="1"/>
  <c r="P36" i="4"/>
  <c r="Q46" i="1"/>
  <c r="O48" i="4"/>
  <c r="AB48" i="4"/>
  <c r="Q52" i="1"/>
  <c r="Q36" i="4"/>
  <c r="P51" i="4"/>
  <c r="R46" i="1"/>
  <c r="P48" i="4"/>
  <c r="S52" i="1"/>
  <c r="R51" i="4"/>
  <c r="T46" i="1"/>
  <c r="S36" i="4"/>
  <c r="R48" i="4"/>
  <c r="Q51" i="4"/>
  <c r="R36" i="4"/>
  <c r="S46" i="1"/>
  <c r="R52" i="1"/>
  <c r="Q48" i="4"/>
  <c r="AB35" i="4"/>
  <c r="N38" i="4"/>
  <c r="O22" i="8"/>
  <c r="O129" i="8"/>
  <c r="F44" i="21"/>
  <c r="X20" i="21" s="1"/>
  <c r="O50" i="20"/>
  <c r="O65" i="20"/>
  <c r="N71" i="20"/>
  <c r="AF13" i="6"/>
  <c r="AG13" i="6"/>
  <c r="R65" i="20"/>
  <c r="AC13" i="8"/>
  <c r="AF13" i="8"/>
  <c r="AG13" i="8"/>
  <c r="R22" i="8"/>
  <c r="R129" i="8"/>
  <c r="R50" i="20"/>
  <c r="S65" i="20"/>
  <c r="S22" i="8"/>
  <c r="S129" i="8"/>
  <c r="S50" i="20"/>
  <c r="X13" i="8"/>
  <c r="Y13" i="8"/>
  <c r="N52" i="20"/>
  <c r="N131" i="8"/>
  <c r="N73" i="20"/>
  <c r="AB22" i="8"/>
  <c r="N41" i="8"/>
  <c r="N158" i="5"/>
  <c r="N134" i="5"/>
  <c r="N136" i="5"/>
  <c r="N58" i="5"/>
  <c r="Q161" i="5"/>
  <c r="Q162" i="5"/>
  <c r="P161" i="5"/>
  <c r="P162" i="5"/>
  <c r="S158" i="5"/>
  <c r="S134" i="5"/>
  <c r="S136" i="5"/>
  <c r="S58" i="5"/>
  <c r="AF32" i="5"/>
  <c r="AG32" i="5"/>
  <c r="O159" i="5"/>
  <c r="O161" i="5"/>
  <c r="O162" i="5"/>
  <c r="R134" i="5"/>
  <c r="R136" i="5"/>
  <c r="R58" i="5"/>
  <c r="R158" i="5"/>
  <c r="N31" i="19"/>
  <c r="N25" i="19"/>
  <c r="P29" i="4"/>
  <c r="P31" i="4"/>
  <c r="P32" i="4"/>
  <c r="P16" i="4"/>
  <c r="P17" i="4"/>
  <c r="P47" i="20"/>
  <c r="AB33" i="6"/>
  <c r="N36" i="6"/>
  <c r="N159" i="5"/>
  <c r="P11" i="4"/>
  <c r="P12" i="4"/>
  <c r="P24" i="4"/>
  <c r="P26" i="4"/>
  <c r="P27" i="4"/>
  <c r="P46" i="20"/>
  <c r="AF45" i="12"/>
  <c r="AG45" i="12"/>
  <c r="AC37" i="10"/>
  <c r="R39" i="6"/>
  <c r="R57" i="20"/>
  <c r="S47" i="1"/>
  <c r="R42" i="20"/>
  <c r="AC34" i="5"/>
  <c r="R9" i="4"/>
  <c r="R58" i="20"/>
  <c r="R59" i="20"/>
  <c r="O47" i="20"/>
  <c r="O29" i="4"/>
  <c r="O31" i="4"/>
  <c r="O32" i="4"/>
  <c r="F15" i="21"/>
  <c r="O16" i="4"/>
  <c r="O17" i="4"/>
  <c r="Q24" i="4"/>
  <c r="Q26" i="4"/>
  <c r="Q27" i="4"/>
  <c r="Q46" i="20"/>
  <c r="Q11" i="4"/>
  <c r="Q12" i="4"/>
  <c r="N67" i="20"/>
  <c r="AB30" i="6"/>
  <c r="N65" i="20"/>
  <c r="O47" i="1"/>
  <c r="N42" i="20"/>
  <c r="N59" i="20"/>
  <c r="N9" i="4"/>
  <c r="N58" i="20"/>
  <c r="AB34" i="5"/>
  <c r="AB38" i="4"/>
  <c r="N57" i="20"/>
  <c r="N39" i="6"/>
  <c r="R36" i="6"/>
  <c r="R159" i="5"/>
  <c r="AC33" i="6"/>
  <c r="AF33" i="6"/>
  <c r="AG33" i="6"/>
  <c r="S9" i="4"/>
  <c r="S59" i="20"/>
  <c r="T47" i="1"/>
  <c r="S42" i="20"/>
  <c r="S57" i="20"/>
  <c r="S39" i="6"/>
  <c r="X34" i="5"/>
  <c r="Y34" i="5"/>
  <c r="S58" i="20"/>
  <c r="S67" i="20"/>
  <c r="X30" i="6"/>
  <c r="Y30" i="6"/>
  <c r="S36" i="6"/>
  <c r="S159" i="5"/>
  <c r="X33" i="6"/>
  <c r="Y33" i="6"/>
  <c r="AF27" i="6"/>
  <c r="AG27" i="6"/>
  <c r="AC21" i="12"/>
  <c r="AF21" i="12"/>
  <c r="AG21" i="12"/>
  <c r="R67" i="20"/>
  <c r="AC30" i="6"/>
  <c r="O24" i="4"/>
  <c r="O26" i="4"/>
  <c r="O27" i="4"/>
  <c r="O11" i="4"/>
  <c r="O12" i="4"/>
  <c r="AC32" i="21"/>
  <c r="O46" i="20"/>
  <c r="P68" i="20"/>
  <c r="P66" i="20"/>
  <c r="Q16" i="4"/>
  <c r="Q17" i="4"/>
  <c r="Q29" i="4"/>
  <c r="Q31" i="4"/>
  <c r="Q32" i="4"/>
  <c r="Q47" i="20"/>
  <c r="Q68" i="20"/>
  <c r="Q66" i="20"/>
  <c r="X48" i="4"/>
  <c r="AC48" i="4"/>
  <c r="AF48" i="4"/>
  <c r="R51" i="1"/>
  <c r="Q43" i="20"/>
  <c r="P39" i="4"/>
  <c r="P41" i="4"/>
  <c r="S51" i="1"/>
  <c r="R43" i="20"/>
  <c r="O51" i="1"/>
  <c r="N43" i="20"/>
  <c r="AC38" i="4"/>
  <c r="AF35" i="4"/>
  <c r="AG35" i="4"/>
  <c r="P51" i="1"/>
  <c r="O43" i="20"/>
  <c r="O39" i="4"/>
  <c r="O41" i="4"/>
  <c r="F19" i="21"/>
  <c r="Q41" i="4"/>
  <c r="Q39" i="4"/>
  <c r="X38" i="4"/>
  <c r="X51" i="4"/>
  <c r="Y51" i="4"/>
  <c r="AC51" i="4"/>
  <c r="AF51" i="4"/>
  <c r="AG51" i="4"/>
  <c r="R39" i="4"/>
  <c r="AC36" i="4"/>
  <c r="T51" i="1"/>
  <c r="S43" i="20"/>
  <c r="S39" i="4"/>
  <c r="X39" i="4"/>
  <c r="X36" i="4"/>
  <c r="Y36" i="4"/>
  <c r="Q51" i="1"/>
  <c r="P43" i="20"/>
  <c r="N39" i="4"/>
  <c r="AB36" i="4"/>
  <c r="R71" i="20"/>
  <c r="S131" i="8"/>
  <c r="S73" i="20"/>
  <c r="S41" i="8"/>
  <c r="S52" i="20"/>
  <c r="X22" i="8"/>
  <c r="Y22" i="8"/>
  <c r="S66" i="20"/>
  <c r="R131" i="8"/>
  <c r="R73" i="20"/>
  <c r="R41" i="8"/>
  <c r="AC22" i="8"/>
  <c r="AF22" i="8"/>
  <c r="AG22" i="8"/>
  <c r="O22" i="2"/>
  <c r="R52" i="20"/>
  <c r="R66" i="20"/>
  <c r="O71" i="20"/>
  <c r="O41" i="8"/>
  <c r="O52" i="20"/>
  <c r="X26" i="21"/>
  <c r="F45" i="21"/>
  <c r="O131" i="8"/>
  <c r="O73" i="20"/>
  <c r="O66" i="20"/>
  <c r="N42" i="8"/>
  <c r="S71" i="20"/>
  <c r="S161" i="5"/>
  <c r="R161" i="5"/>
  <c r="N161" i="5"/>
  <c r="S24" i="4"/>
  <c r="S11" i="4"/>
  <c r="X9" i="4"/>
  <c r="Y9" i="4"/>
  <c r="S46" i="20"/>
  <c r="AC62" i="21"/>
  <c r="F17" i="21"/>
  <c r="N11" i="4"/>
  <c r="N12" i="4"/>
  <c r="AB9" i="4"/>
  <c r="AB11" i="4"/>
  <c r="AB12" i="4"/>
  <c r="N46" i="20"/>
  <c r="N24" i="4"/>
  <c r="R43" i="6"/>
  <c r="AC39" i="6"/>
  <c r="AB36" i="6"/>
  <c r="N68" i="20"/>
  <c r="N66" i="20"/>
  <c r="S68" i="20"/>
  <c r="X36" i="6"/>
  <c r="Y36" i="6"/>
  <c r="S43" i="6"/>
  <c r="X39" i="6"/>
  <c r="Y39" i="6"/>
  <c r="R68" i="20"/>
  <c r="AC36" i="6"/>
  <c r="AF36" i="6"/>
  <c r="AG36" i="6"/>
  <c r="F9" i="21"/>
  <c r="AC33" i="21"/>
  <c r="AC60" i="21" s="1"/>
  <c r="AC61" i="21" s="1"/>
  <c r="R11" i="4"/>
  <c r="R12" i="4"/>
  <c r="AC9" i="4"/>
  <c r="R46" i="20"/>
  <c r="R24" i="4"/>
  <c r="AF38" i="4"/>
  <c r="P34" i="20"/>
  <c r="AF30" i="6"/>
  <c r="AG30" i="6"/>
  <c r="AB39" i="6"/>
  <c r="N43" i="6"/>
  <c r="AF34" i="5"/>
  <c r="AG34" i="5"/>
  <c r="Q34" i="20"/>
  <c r="AF36" i="4"/>
  <c r="AG36" i="4"/>
  <c r="AC39" i="4"/>
  <c r="O34" i="20"/>
  <c r="AB39" i="4"/>
  <c r="S42" i="8"/>
  <c r="X41" i="8"/>
  <c r="Y41" i="8"/>
  <c r="O42" i="8"/>
  <c r="AB41" i="8"/>
  <c r="AB42" i="8"/>
  <c r="R42" i="8"/>
  <c r="AC41" i="8"/>
  <c r="AF39" i="6"/>
  <c r="AG39" i="6"/>
  <c r="N162" i="5"/>
  <c r="R162" i="5"/>
  <c r="AF39" i="4"/>
  <c r="S162" i="5"/>
  <c r="AC11" i="4"/>
  <c r="AF9" i="4"/>
  <c r="AG9" i="4"/>
  <c r="AB43" i="6"/>
  <c r="AB41" i="4"/>
  <c r="N14" i="4"/>
  <c r="N41" i="4"/>
  <c r="S14" i="4"/>
  <c r="X43" i="6"/>
  <c r="Y43" i="6"/>
  <c r="S41" i="4"/>
  <c r="R14" i="4"/>
  <c r="AC43" i="6"/>
  <c r="R41" i="4"/>
  <c r="AB24" i="4"/>
  <c r="AB26" i="4"/>
  <c r="AB27" i="4"/>
  <c r="N26" i="4"/>
  <c r="N27" i="4"/>
  <c r="S12" i="4"/>
  <c r="X11" i="4"/>
  <c r="Y11" i="4"/>
  <c r="R26" i="4"/>
  <c r="R27" i="4"/>
  <c r="AC24" i="4"/>
  <c r="S26" i="4"/>
  <c r="X24" i="4"/>
  <c r="Y24" i="4"/>
  <c r="AC42" i="8"/>
  <c r="AF41" i="8"/>
  <c r="AG41" i="8"/>
  <c r="X26" i="4"/>
  <c r="Y26" i="4"/>
  <c r="S27" i="4"/>
  <c r="N47" i="20"/>
  <c r="N34" i="20"/>
  <c r="N16" i="4"/>
  <c r="N17" i="4"/>
  <c r="AB14" i="4"/>
  <c r="AB16" i="4"/>
  <c r="AB17" i="4"/>
  <c r="N29" i="4"/>
  <c r="S29" i="4"/>
  <c r="S16" i="4"/>
  <c r="S47" i="20"/>
  <c r="S34" i="20"/>
  <c r="X14" i="4"/>
  <c r="Y14" i="4"/>
  <c r="R29" i="4"/>
  <c r="R47" i="20"/>
  <c r="R34" i="20"/>
  <c r="R16" i="4"/>
  <c r="R17" i="4"/>
  <c r="AC14" i="4"/>
  <c r="AC12" i="4"/>
  <c r="AF12" i="4"/>
  <c r="AG12" i="4"/>
  <c r="AF11" i="4"/>
  <c r="AG11" i="4"/>
  <c r="AB32" i="21"/>
  <c r="X12" i="4"/>
  <c r="Y12" i="4"/>
  <c r="X41" i="4"/>
  <c r="AF24" i="4"/>
  <c r="AG24" i="4"/>
  <c r="AC26" i="4"/>
  <c r="AF43" i="6"/>
  <c r="AG43" i="6"/>
  <c r="AC41" i="4"/>
  <c r="AF41" i="4"/>
  <c r="S17" i="4"/>
  <c r="X17" i="4"/>
  <c r="Y17" i="4"/>
  <c r="X16" i="4"/>
  <c r="Y16" i="4"/>
  <c r="AC27" i="4"/>
  <c r="AF27" i="4"/>
  <c r="AG27" i="4"/>
  <c r="AF26" i="4"/>
  <c r="AG26" i="4"/>
  <c r="AC16" i="4"/>
  <c r="AF14" i="4"/>
  <c r="AG14" i="4"/>
  <c r="S31" i="4"/>
  <c r="X29" i="4"/>
  <c r="Y29" i="4"/>
  <c r="AB29" i="4"/>
  <c r="AB31" i="4"/>
  <c r="AB32" i="4"/>
  <c r="N31" i="4"/>
  <c r="N32" i="4"/>
  <c r="R31" i="4"/>
  <c r="R32" i="4"/>
  <c r="AC29" i="4"/>
  <c r="X27" i="4"/>
  <c r="Y27" i="4"/>
  <c r="AF29" i="4"/>
  <c r="AG29" i="4"/>
  <c r="AC31" i="4"/>
  <c r="AF16" i="4"/>
  <c r="AG16" i="4"/>
  <c r="AC17" i="4"/>
  <c r="AF17" i="4"/>
  <c r="AG17" i="4"/>
  <c r="X31" i="4"/>
  <c r="Y31" i="4"/>
  <c r="S32" i="4"/>
  <c r="X32" i="4"/>
  <c r="Y32" i="4"/>
  <c r="AF31" i="4"/>
  <c r="AG31" i="4"/>
  <c r="AC32" i="4"/>
  <c r="AF32" i="4"/>
  <c r="AG32" i="4"/>
  <c r="AB88" i="21" l="1"/>
  <c r="AB87" i="21"/>
  <c r="AB89" i="21"/>
  <c r="AC88" i="21"/>
  <c r="AC87" i="21"/>
  <c r="AC89" i="21"/>
  <c r="E73" i="21"/>
  <c r="AB75" i="21"/>
  <c r="AB57" i="21"/>
  <c r="AB9" i="21"/>
  <c r="AB22" i="21"/>
  <c r="E68" i="21"/>
  <c r="W71" i="21"/>
  <c r="AB62" i="21"/>
  <c r="AD62" i="21" s="1"/>
  <c r="AB11" i="21"/>
  <c r="G30" i="21"/>
  <c r="E9" i="21"/>
  <c r="G9" i="21" s="1"/>
  <c r="E23" i="21"/>
  <c r="W9" i="21" s="1"/>
  <c r="Y9" i="21" s="1"/>
  <c r="E37" i="21"/>
  <c r="R38" i="21" s="1"/>
  <c r="AB23" i="21"/>
  <c r="AB13" i="21"/>
  <c r="AB55" i="21" s="1"/>
  <c r="E17" i="21"/>
  <c r="G17" i="21" s="1"/>
  <c r="E11" i="21"/>
  <c r="AC83" i="21"/>
  <c r="AC10" i="21"/>
  <c r="E57" i="21"/>
  <c r="W26" i="21"/>
  <c r="Y26" i="21" s="1"/>
  <c r="E22" i="21"/>
  <c r="W8" i="21" s="1"/>
  <c r="Y8" i="21" s="1"/>
  <c r="E60" i="21"/>
  <c r="E66" i="21"/>
  <c r="AC55" i="21"/>
  <c r="E36" i="21"/>
  <c r="G36" i="21" s="1"/>
  <c r="W27" i="21"/>
  <c r="Y27" i="21" s="1"/>
  <c r="M33" i="21"/>
  <c r="L26" i="21"/>
  <c r="E48" i="21"/>
  <c r="E59" i="21"/>
  <c r="G59" i="21" s="1"/>
  <c r="W28" i="21"/>
  <c r="Y28" i="21" s="1"/>
  <c r="W69" i="21"/>
  <c r="AB18" i="21"/>
  <c r="AB38" i="21"/>
  <c r="AB33" i="21"/>
  <c r="AB60" i="21" s="1"/>
  <c r="AD60" i="21" s="1"/>
  <c r="W14" i="21"/>
  <c r="Y14" i="21" s="1"/>
  <c r="E24" i="21"/>
  <c r="E6" i="21"/>
  <c r="G6" i="21" s="1"/>
  <c r="AB71" i="21"/>
  <c r="AB28" i="21"/>
  <c r="AC19" i="21"/>
  <c r="E54" i="21"/>
  <c r="X69" i="21"/>
  <c r="E45" i="21"/>
  <c r="G45" i="21" s="1"/>
  <c r="E19" i="21"/>
  <c r="E14" i="21"/>
  <c r="AB96" i="21"/>
  <c r="AB20" i="21"/>
  <c r="AC57" i="21"/>
  <c r="M39" i="21"/>
  <c r="E15" i="21"/>
  <c r="G15" i="21" s="1"/>
  <c r="E16" i="21"/>
  <c r="G16" i="21" s="1"/>
  <c r="E29" i="21"/>
  <c r="G29" i="21" s="1"/>
  <c r="E35" i="21"/>
  <c r="AB77" i="21"/>
  <c r="AD77" i="21" s="1"/>
  <c r="E64" i="21"/>
  <c r="E58" i="21"/>
  <c r="W21" i="21" s="1"/>
  <c r="W46" i="21"/>
  <c r="AB51" i="21"/>
  <c r="AB19" i="21"/>
  <c r="F55" i="21"/>
  <c r="F54" i="21"/>
  <c r="M38" i="21"/>
  <c r="F18" i="21"/>
  <c r="E7" i="21"/>
  <c r="G7" i="21" s="1"/>
  <c r="E44" i="21"/>
  <c r="W20" i="21" s="1"/>
  <c r="E28" i="21"/>
  <c r="E8" i="21"/>
  <c r="E10" i="21" s="1"/>
  <c r="AB50" i="21"/>
  <c r="W61" i="21"/>
  <c r="W78" i="21"/>
  <c r="E56" i="21"/>
  <c r="G56" i="21" s="1"/>
  <c r="M40" i="21"/>
  <c r="AB37" i="21"/>
  <c r="X30" i="21"/>
  <c r="X82" i="21"/>
  <c r="W55" i="21"/>
  <c r="W65" i="21"/>
  <c r="L29" i="21"/>
  <c r="L33" i="21" s="1"/>
  <c r="AC72" i="21"/>
  <c r="X55" i="21"/>
  <c r="W82" i="21"/>
  <c r="M32" i="21"/>
  <c r="L37" i="21"/>
  <c r="X61" i="21"/>
  <c r="X70" i="21"/>
  <c r="AB98" i="21"/>
  <c r="W56" i="21"/>
  <c r="W80" i="21"/>
  <c r="M31" i="21"/>
  <c r="K3" i="21"/>
  <c r="X49" i="21"/>
  <c r="X78" i="21"/>
  <c r="X83" i="21" s="1"/>
  <c r="W50" i="21"/>
  <c r="W67" i="21"/>
  <c r="W48" i="21"/>
  <c r="W49" i="21"/>
  <c r="X79" i="21"/>
  <c r="X65" i="21"/>
  <c r="AB100" i="21"/>
  <c r="W13" i="21"/>
  <c r="Y13" i="21" s="1"/>
  <c r="X7" i="21"/>
  <c r="G42" i="21"/>
  <c r="X46" i="21"/>
  <c r="X48" i="21"/>
  <c r="Y20" i="21"/>
  <c r="AC98" i="21"/>
  <c r="G44" i="21"/>
  <c r="E18" i="21"/>
  <c r="X10" i="21"/>
  <c r="AB45" i="21"/>
  <c r="F14" i="21"/>
  <c r="G14" i="21" s="1"/>
  <c r="F60" i="21"/>
  <c r="AC45" i="21"/>
  <c r="W22" i="21"/>
  <c r="Y22" i="21" s="1"/>
  <c r="AB21" i="21"/>
  <c r="AB84" i="21"/>
  <c r="AC37" i="21"/>
  <c r="W75" i="21"/>
  <c r="W66" i="21"/>
  <c r="AB24" i="21"/>
  <c r="AC20" i="21"/>
  <c r="F57" i="21"/>
  <c r="AB27" i="21"/>
  <c r="AC27" i="21"/>
  <c r="F31" i="21"/>
  <c r="X11" i="21" s="1"/>
  <c r="F8" i="21"/>
  <c r="F10" i="21" s="1"/>
  <c r="AC96" i="21"/>
  <c r="AC100" i="21"/>
  <c r="E49" i="21"/>
  <c r="AB70" i="21"/>
  <c r="F71" i="21"/>
  <c r="AB8" i="21"/>
  <c r="AB10" i="21" s="1"/>
  <c r="AC85" i="21"/>
  <c r="AB46" i="21"/>
  <c r="AC21" i="21"/>
  <c r="AC12" i="21"/>
  <c r="AB14" i="21"/>
  <c r="AB25" i="21"/>
  <c r="F72" i="21"/>
  <c r="AC76" i="21"/>
  <c r="AC74" i="21" s="1"/>
  <c r="X50" i="21"/>
  <c r="AB56" i="21"/>
  <c r="F73" i="21"/>
  <c r="G73" i="21" s="1"/>
  <c r="AC56" i="21"/>
  <c r="AC14" i="21"/>
  <c r="AC25" i="21"/>
  <c r="X67" i="21"/>
  <c r="E51" i="21"/>
  <c r="F43" i="21"/>
  <c r="F58" i="21"/>
  <c r="X21" i="21" s="1"/>
  <c r="AB85" i="21"/>
  <c r="E41" i="21"/>
  <c r="G41" i="21" s="1"/>
  <c r="AB76" i="21"/>
  <c r="AB12" i="21"/>
  <c r="AC24" i="21"/>
  <c r="E72" i="21"/>
  <c r="F68" i="21"/>
  <c r="X71" i="21"/>
  <c r="X75" i="21"/>
  <c r="W79" i="21"/>
  <c r="X56" i="21"/>
  <c r="X66" i="21"/>
  <c r="AC46" i="21"/>
  <c r="E55" i="21"/>
  <c r="G55" i="21" s="1"/>
  <c r="AB74" i="21" l="1"/>
  <c r="AB82" i="21"/>
  <c r="M42" i="21"/>
  <c r="AB61" i="21"/>
  <c r="G22" i="21"/>
  <c r="G37" i="21"/>
  <c r="G23" i="21"/>
  <c r="G57" i="21"/>
  <c r="G60" i="21"/>
  <c r="W30" i="21"/>
  <c r="Y30" i="21" s="1"/>
  <c r="AC15" i="21"/>
  <c r="AC44" i="21" s="1"/>
  <c r="AC47" i="21" s="1"/>
  <c r="L32" i="21"/>
  <c r="AC82" i="21"/>
  <c r="AB26" i="21"/>
  <c r="G18" i="21"/>
  <c r="M34" i="21"/>
  <c r="AB83" i="21"/>
  <c r="M26" i="21"/>
  <c r="W7" i="21"/>
  <c r="W57" i="21"/>
  <c r="X57" i="21"/>
  <c r="E31" i="21"/>
  <c r="W11" i="21" s="1"/>
  <c r="Y11" i="21" s="1"/>
  <c r="W10" i="21"/>
  <c r="Y10" i="21" s="1"/>
  <c r="W12" i="21"/>
  <c r="Y12" i="21" s="1"/>
  <c r="G35" i="21"/>
  <c r="G54" i="21"/>
  <c r="Y21" i="21"/>
  <c r="Y7" i="21"/>
  <c r="G28" i="21"/>
  <c r="AC90" i="21"/>
  <c r="G24" i="21"/>
  <c r="X23" i="21"/>
  <c r="W83" i="21"/>
  <c r="AB15" i="21"/>
  <c r="AB44" i="21" s="1"/>
  <c r="G8" i="21"/>
  <c r="AB101" i="21"/>
  <c r="K29" i="21"/>
  <c r="L31" i="21"/>
  <c r="L30" i="21"/>
  <c r="K37" i="21"/>
  <c r="W72" i="21"/>
  <c r="W84" i="21" s="1"/>
  <c r="L38" i="21"/>
  <c r="L41" i="21"/>
  <c r="L40" i="21"/>
  <c r="L39" i="21"/>
  <c r="K25" i="21"/>
  <c r="K26" i="21"/>
  <c r="P38" i="21"/>
  <c r="J3" i="21"/>
  <c r="F74" i="21"/>
  <c r="AC101" i="21"/>
  <c r="W23" i="21"/>
  <c r="AD85" i="21"/>
  <c r="AD96" i="21"/>
  <c r="F49" i="21"/>
  <c r="F51" i="21"/>
  <c r="F50" i="21"/>
  <c r="G43" i="21"/>
  <c r="F48" i="21"/>
  <c r="AC29" i="21"/>
  <c r="AC54" i="21" s="1"/>
  <c r="AC58" i="21" s="1"/>
  <c r="AC49" i="21"/>
  <c r="AC52" i="21" s="1"/>
  <c r="G71" i="21"/>
  <c r="X72" i="21"/>
  <c r="X84" i="21" s="1"/>
  <c r="G10" i="21"/>
  <c r="AB49" i="21"/>
  <c r="AB29" i="21"/>
  <c r="AB54" i="21" s="1"/>
  <c r="AB72" i="21"/>
  <c r="AD72" i="21" s="1"/>
  <c r="AD70" i="21"/>
  <c r="G72" i="21"/>
  <c r="E74" i="21"/>
  <c r="G58" i="21"/>
  <c r="AC26" i="21"/>
  <c r="AB90" i="21"/>
  <c r="AD87" i="21"/>
  <c r="AD101" i="21" l="1"/>
  <c r="AD82" i="21"/>
  <c r="AD90" i="21"/>
  <c r="AD44" i="21"/>
  <c r="Y23" i="21"/>
  <c r="G74" i="21"/>
  <c r="L34" i="21"/>
  <c r="J29" i="21"/>
  <c r="K30" i="21"/>
  <c r="J37" i="21"/>
  <c r="K33" i="21"/>
  <c r="K32" i="21"/>
  <c r="K31" i="21"/>
  <c r="AB47" i="21"/>
  <c r="AD47" i="21" s="1"/>
  <c r="J26" i="21"/>
  <c r="O38" i="21"/>
  <c r="J25" i="21"/>
  <c r="L42" i="21"/>
  <c r="K39" i="21"/>
  <c r="K40" i="21"/>
  <c r="K41" i="21"/>
  <c r="K38" i="21"/>
  <c r="AD54" i="21"/>
  <c r="AB58" i="21"/>
  <c r="AD58" i="21" s="1"/>
  <c r="AB52" i="21"/>
  <c r="AD52" i="21" s="1"/>
  <c r="AD49" i="21"/>
  <c r="K34" i="21" l="1"/>
  <c r="K42" i="21"/>
  <c r="J41" i="21"/>
  <c r="J39" i="21"/>
  <c r="J38" i="21"/>
  <c r="J40" i="21"/>
  <c r="J32" i="21"/>
  <c r="J30" i="21"/>
  <c r="J33" i="21"/>
  <c r="J31" i="21"/>
  <c r="J42" i="21" l="1"/>
  <c r="J3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tc={69D6A6F5-8F1F-4388-8695-9F95674BD16A}</author>
  </authors>
  <commentList>
    <comment ref="D1" authorId="0" shapeId="0" xr:uid="{69D6A6F5-8F1F-4388-8695-9F95674BD16A}">
      <text>
        <t>[Threaded comment]
Your version of Excel allows you to read this threaded comment; however, any edits to it will get removed if the file is opened in a newer version of Excel. Learn more: https://go.microsoft.com/fwlink/?linkid=870924
Comment:
    Current Quarter</t>
      </text>
    </comment>
  </commentList>
</comments>
</file>

<file path=xl/sharedStrings.xml><?xml version="1.0" encoding="utf-8"?>
<sst xmlns="http://schemas.openxmlformats.org/spreadsheetml/2006/main" count="2542" uniqueCount="948">
  <si>
    <t>(Dollars in thousands)</t>
  </si>
  <si>
    <t>Assets:</t>
  </si>
  <si>
    <t>Investments and cash excluding securities held to maturity</t>
  </si>
  <si>
    <t>Securities held to maturity</t>
  </si>
  <si>
    <t>Total investments and cash</t>
  </si>
  <si>
    <t>Deferred policy acquisition costs</t>
  </si>
  <si>
    <t>Goodwill</t>
  </si>
  <si>
    <t>Other assets</t>
  </si>
  <si>
    <t>Separate account assets</t>
  </si>
  <si>
    <t>Total assets</t>
  </si>
  <si>
    <t>Liabilities:</t>
  </si>
  <si>
    <t>Future policy benefits</t>
  </si>
  <si>
    <t>Other policy liabilities</t>
  </si>
  <si>
    <t>Income taxes</t>
  </si>
  <si>
    <t>Other liabilities</t>
  </si>
  <si>
    <t>Debt obligations</t>
  </si>
  <si>
    <t>Surplus note</t>
  </si>
  <si>
    <t>Payable under securities lending</t>
  </si>
  <si>
    <t>Separate account liabilities</t>
  </si>
  <si>
    <t>Total liabilities</t>
  </si>
  <si>
    <t>Redeemable noncontrolling interest</t>
  </si>
  <si>
    <t>Stockholders’ equity:</t>
  </si>
  <si>
    <t>Common stock ($0.01 par value)  (1)</t>
  </si>
  <si>
    <t>Paid-in capital</t>
  </si>
  <si>
    <t>Retained earnings</t>
  </si>
  <si>
    <t>Accumulated other comprehensive income (loss), net:</t>
  </si>
  <si>
    <t>Net unrealized gains (losses)</t>
  </si>
  <si>
    <t>Cumulative translation adjustment</t>
  </si>
  <si>
    <t>Reconciliation of Total Stockholders' Equity to Adjusted Stockholders' Equity</t>
  </si>
  <si>
    <t>Total stockholders' equity</t>
  </si>
  <si>
    <t>Less: Net unrealized gains (losses)</t>
  </si>
  <si>
    <t>Adjusted stockholders’ equity</t>
  </si>
  <si>
    <t>Balance, beginning of period</t>
  </si>
  <si>
    <t>Shareholder dividends</t>
  </si>
  <si>
    <t>Net foreign currency translation adjustment</t>
  </si>
  <si>
    <t>Other, net</t>
  </si>
  <si>
    <t>Balance, end of period</t>
  </si>
  <si>
    <t>General expenses deferred</t>
  </si>
  <si>
    <t>Commission costs deferred</t>
  </si>
  <si>
    <t>Amortization of deferred policy acquisition costs</t>
  </si>
  <si>
    <t>Foreign currency impact and other, net</t>
  </si>
  <si>
    <t>63695380-2a17-4229-9e58-739660490635</t>
  </si>
  <si>
    <t>(1)</t>
  </si>
  <si>
    <t>Outstanding common shares exclude restricted stock units.</t>
  </si>
  <si>
    <t>(2)</t>
  </si>
  <si>
    <t>GAAP Held to Maturity Securities</t>
  </si>
  <si>
    <t>GAAP Invested Assets and Cash</t>
  </si>
  <si>
    <t>Excl Held to Maturity Securities</t>
  </si>
  <si>
    <t>GAAP Due From Reinsurers</t>
  </si>
  <si>
    <t>Actuals End Bal</t>
  </si>
  <si>
    <t>Actuals Activity</t>
  </si>
  <si>
    <t>GAAP Deferred Policy Acquisition Cost</t>
  </si>
  <si>
    <t>GAAP Historical Legal Vehicle</t>
  </si>
  <si>
    <t>GAAP Other Assets All</t>
  </si>
  <si>
    <t>GAAP Accrued Investment Income</t>
  </si>
  <si>
    <t>GAAP Deferred Tax Asset</t>
  </si>
  <si>
    <t>GAAP Intangible Assets</t>
  </si>
  <si>
    <t>GAAP Intercompany Receivables</t>
  </si>
  <si>
    <t>GAAP Operating Lease Assets</t>
  </si>
  <si>
    <t>GAAP Premium and Other Receivables</t>
  </si>
  <si>
    <t>GAAP Separate Account Assets</t>
  </si>
  <si>
    <t>PRI Consolidated</t>
  </si>
  <si>
    <t>GAAP Assets</t>
  </si>
  <si>
    <t>Total Assets Check</t>
  </si>
  <si>
    <t>GAAP Total Liabilities</t>
  </si>
  <si>
    <t>GAAP Future Policy Benefits</t>
  </si>
  <si>
    <t>GAAP Other Policy Holder Funds</t>
  </si>
  <si>
    <t>GAAP Policy &amp; Contract Claims</t>
  </si>
  <si>
    <t>GAAP Unearned Advance Premiums</t>
  </si>
  <si>
    <t>GAAP Income Tax Liability</t>
  </si>
  <si>
    <t>GAAP Operating Lease Liabilities</t>
  </si>
  <si>
    <t>GAAP Other Liabilities</t>
  </si>
  <si>
    <t>GAAP Payables to Affiliates</t>
  </si>
  <si>
    <t>GAAP Payables Under Securities Lending</t>
  </si>
  <si>
    <t>GAAP Notes Payable</t>
  </si>
  <si>
    <t>GAAP Non-Recourse Funding Obligation</t>
  </si>
  <si>
    <t>GAAP Separate Account Liabilities</t>
  </si>
  <si>
    <t>Total Liabilities Check</t>
  </si>
  <si>
    <t>Total Equity Check</t>
  </si>
  <si>
    <t>GAAP Total Equity</t>
  </si>
  <si>
    <t>GAAP Temporary Stockholder</t>
  </si>
  <si>
    <t>GAAP Common Stock</t>
  </si>
  <si>
    <t>GAAP Additional Paid in Capital</t>
  </si>
  <si>
    <t>GAAP Retained Earnings</t>
  </si>
  <si>
    <t>GAAP Dividends</t>
  </si>
  <si>
    <t>GAAP Preferred Stock</t>
  </si>
  <si>
    <t>GAAP Net Unrealized Gains &amp; Losses</t>
  </si>
  <si>
    <t>GAAP Translation Adjustment</t>
  </si>
  <si>
    <t>GAAP Change in Current Discount Rate</t>
  </si>
  <si>
    <t>GAAP Capitalized General Expenses</t>
  </si>
  <si>
    <t>GAAP Insurance Commissions Deferred</t>
  </si>
  <si>
    <t>GAAP Amortization of DAC</t>
  </si>
  <si>
    <t>Share repurchases</t>
  </si>
  <si>
    <t>GAAP Net Income to PRI</t>
  </si>
  <si>
    <t>Revenues:</t>
  </si>
  <si>
    <t>Direct premiums</t>
  </si>
  <si>
    <t>Ceded premiums</t>
  </si>
  <si>
    <t>Net premiums</t>
  </si>
  <si>
    <t>Net investment income</t>
  </si>
  <si>
    <t>Commissions and fees:</t>
  </si>
  <si>
    <t>Other commissions and fees</t>
  </si>
  <si>
    <t>Investment (losses) gains</t>
  </si>
  <si>
    <t>Benefits and expenses:</t>
  </si>
  <si>
    <t>Benefits and claims</t>
  </si>
  <si>
    <t>Amortization of DAC</t>
  </si>
  <si>
    <t>Insurance commissions</t>
  </si>
  <si>
    <t>Insurance expenses</t>
  </si>
  <si>
    <t>Sales commissions:</t>
  </si>
  <si>
    <t>Other sales commissions</t>
  </si>
  <si>
    <t>Interest expense</t>
  </si>
  <si>
    <t>Other operating expenses</t>
  </si>
  <si>
    <t>Investment &amp; Savings Products</t>
  </si>
  <si>
    <t>Corporate &amp; Other Distributed Products</t>
  </si>
  <si>
    <t>Income before income taxes</t>
  </si>
  <si>
    <t>b5cbb9b2-2f0e-48af-81e6-eaa8aa4593cc</t>
  </si>
  <si>
    <t>GAAP Direct Premium</t>
  </si>
  <si>
    <t>GAAP Total Revenues</t>
  </si>
  <si>
    <t>Total Revenues</t>
  </si>
  <si>
    <t>Total benefits and expenses</t>
  </si>
  <si>
    <t>Total Revenues Check</t>
  </si>
  <si>
    <t>GAAP Ceded Premium</t>
  </si>
  <si>
    <t>GAAP Net Investment Income</t>
  </si>
  <si>
    <t>GAAP Sales Based Revenue</t>
  </si>
  <si>
    <t>GAAP Asset Based Revenue</t>
  </si>
  <si>
    <t>GAAP Account Based Revenue</t>
  </si>
  <si>
    <t>GAAP Other Distributive Revenue</t>
  </si>
  <si>
    <t>GAAP Investment Gains (Losses)</t>
  </si>
  <si>
    <t>GAAP Other Income</t>
  </si>
  <si>
    <t>GAAP Benefits and Claims</t>
  </si>
  <si>
    <t>Product Code</t>
  </si>
  <si>
    <t>GAAP Benefits and Expenses</t>
  </si>
  <si>
    <t>GAAP General Expenses Net of Allowances</t>
  </si>
  <si>
    <t>GAAP Insurance Commissions</t>
  </si>
  <si>
    <t>Term Life Insurance Operating Segment</t>
  </si>
  <si>
    <t>CNOIEX NBL CNO Insurance Expense</t>
  </si>
  <si>
    <t>GAAP Sales Based Expense</t>
  </si>
  <si>
    <t>GAAP Asset Based Expense</t>
  </si>
  <si>
    <t>GAAP Corporate &amp; Other Product Expense</t>
  </si>
  <si>
    <t>GAAP Net Interest</t>
  </si>
  <si>
    <t>406321:Mark to Market Economic Rsrv Trust</t>
  </si>
  <si>
    <t>NII Operating Adjustment</t>
  </si>
  <si>
    <t>GAAP Income Tax on NCI</t>
  </si>
  <si>
    <t>GAAP Tax on Operating Adjustments</t>
  </si>
  <si>
    <t>Operating Adjustments</t>
  </si>
  <si>
    <t>GAAP Non Controlling Interest</t>
  </si>
  <si>
    <t>GAAP Income tax on Continuing Ops</t>
  </si>
  <si>
    <t>Total Expense Check</t>
  </si>
  <si>
    <t>GAAP Pre tax from Continuing Ops</t>
  </si>
  <si>
    <t>Corporate and Other Segment</t>
  </si>
  <si>
    <t>Investment and Savings Products Operating Segment</t>
  </si>
  <si>
    <t>Income Before Taxes Check</t>
  </si>
  <si>
    <t>$
Change</t>
  </si>
  <si>
    <t>%
Change</t>
  </si>
  <si>
    <t>YOY YTD</t>
  </si>
  <si>
    <t>Less: Premiums ceded to IPO Coinsurers</t>
  </si>
  <si>
    <t>Reconciliation from Net Investment Income to Adjusted Net Investment Income</t>
  </si>
  <si>
    <t>Net Investment Income</t>
  </si>
  <si>
    <t>Less: MTM investment adjustments</t>
  </si>
  <si>
    <t>Adjusted net investment income</t>
  </si>
  <si>
    <t>Less: Equity comp for awards exchanged during acquisition</t>
  </si>
  <si>
    <t>Reconciliation from Total Revenues to Adjusted Operating Revenues</t>
  </si>
  <si>
    <t>Total revenues</t>
  </si>
  <si>
    <t>Less: Investment gains/(losses)</t>
  </si>
  <si>
    <t>Adjusted operating revenues</t>
  </si>
  <si>
    <t>Adjusted operating income before income taxes</t>
  </si>
  <si>
    <t>Adjusted net operating income</t>
  </si>
  <si>
    <t>Reconciliation from C&amp;O Income Before Income Taxes to C&amp;O Adjusted Operating Income Before Income Taxes</t>
  </si>
  <si>
    <t>(Dollars in thousands, except per-share data)</t>
  </si>
  <si>
    <t>Earnings per Share</t>
  </si>
  <si>
    <t>Basic earnings per share:</t>
  </si>
  <si>
    <t>Weighted-average common shares and fully vested equity awards</t>
  </si>
  <si>
    <t>Less income attributable to unvested participating securities</t>
  </si>
  <si>
    <t>Basic earnings per share</t>
  </si>
  <si>
    <t>Less operating income attributable to unvested participating securities</t>
  </si>
  <si>
    <t>Adjusted net operating income used in computing basic operating EPS</t>
  </si>
  <si>
    <t>Basic adjusted operating income per share</t>
  </si>
  <si>
    <t>Diluted earnings per share:</t>
  </si>
  <si>
    <t>Dilutive impact of contingently issuable shares</t>
  </si>
  <si>
    <t>Diluted earnings per share</t>
  </si>
  <si>
    <t>Adjusted net operating income used in computing diluted operating EPS</t>
  </si>
  <si>
    <t>Diluted adjusted operating income per share</t>
  </si>
  <si>
    <t>Annualized Return on Equity</t>
  </si>
  <si>
    <t>Adjusted net operating income return on adjusted stockholders' equity</t>
  </si>
  <si>
    <t>Capital Structure</t>
  </si>
  <si>
    <t>Cash and invested assets to stockholders' equity</t>
  </si>
  <si>
    <t>Cash and invested assets to adjusted stockholders' equity</t>
  </si>
  <si>
    <t>Adjusted stockholders' equity per share</t>
  </si>
  <si>
    <t>Financial Strength Ratings - Primerica Life Insurance Co</t>
  </si>
  <si>
    <t>Moody's</t>
  </si>
  <si>
    <t>S&amp;P</t>
  </si>
  <si>
    <t>A.M. Best</t>
  </si>
  <si>
    <t>Holding Company Senior Debt Ratings</t>
  </si>
  <si>
    <t>nm</t>
  </si>
  <si>
    <t>Term Life Insurance Income Before Income Taxes</t>
  </si>
  <si>
    <t>Direct Premiums</t>
  </si>
  <si>
    <t>Premiums ceded to IPO coinsurers (1)</t>
  </si>
  <si>
    <t>Other ceded premiums (3)</t>
  </si>
  <si>
    <t>Revenues</t>
  </si>
  <si>
    <t>Benefits and expenses</t>
  </si>
  <si>
    <t>Total Term Life Insurance - Financial Analysis</t>
  </si>
  <si>
    <t>Post-IPO direct premiums (4)</t>
  </si>
  <si>
    <t>Pre-IPO direct premiums (5)</t>
  </si>
  <si>
    <t>Total direct premiums</t>
  </si>
  <si>
    <t>Premiums ceded to IPO coinsurers</t>
  </si>
  <si>
    <t>% of Pre-IPO direct premiums</t>
  </si>
  <si>
    <t>Benefits and claims, net (6)</t>
  </si>
  <si>
    <t>% of adjusted direct premiums</t>
  </si>
  <si>
    <t>DAC amortization &amp; insurance commissions</t>
  </si>
  <si>
    <t>Insurance expenses, net (7)</t>
  </si>
  <si>
    <t>Total Term Life income before income taxes</t>
  </si>
  <si>
    <t>Term Life operating margin (8)</t>
  </si>
  <si>
    <t>(3)</t>
  </si>
  <si>
    <t>(4)</t>
  </si>
  <si>
    <t>(5)</t>
  </si>
  <si>
    <t>(6)</t>
  </si>
  <si>
    <t>(7)</t>
  </si>
  <si>
    <t>(8)</t>
  </si>
  <si>
    <t>4ce08b89-6ee6-41c0-8662-006044e7b122</t>
  </si>
  <si>
    <t>GAAP Segments</t>
  </si>
  <si>
    <t>GAAP Commission and Fee Income</t>
  </si>
  <si>
    <t>401111:Direct Premium Ceded</t>
  </si>
  <si>
    <t>Term Legacy Products</t>
  </si>
  <si>
    <t>GAAP Field Commissions</t>
  </si>
  <si>
    <t>TNEW Term Life Insurance Policies</t>
  </si>
  <si>
    <t>Direct Premium Check</t>
  </si>
  <si>
    <t>(Dollars in thousands, except as noted)</t>
  </si>
  <si>
    <t>Key Statistics</t>
  </si>
  <si>
    <t>Life-insurance licensed sales force, beginning of period</t>
  </si>
  <si>
    <t>New life-licensed representatives</t>
  </si>
  <si>
    <t>Non-renewal and terminated representatives</t>
  </si>
  <si>
    <t>Life-insurance licensed sales force, end of period</t>
  </si>
  <si>
    <t>Estimated annualized issued term life premium ($mills) (1):</t>
  </si>
  <si>
    <t>Premium from new policies</t>
  </si>
  <si>
    <t>Additions and increases in premium</t>
  </si>
  <si>
    <t>Total estimated annualized issued term life premium</t>
  </si>
  <si>
    <t>Issued term life policies</t>
  </si>
  <si>
    <t>Estimated average annualized issued term life premium per policy (1)(2)</t>
  </si>
  <si>
    <t>Term life face amount in-force, beginning of period ($mills)</t>
  </si>
  <si>
    <t>Terminated term life face amount</t>
  </si>
  <si>
    <t>Foreign currency impact, net</t>
  </si>
  <si>
    <t>Term life face amount in-force, end of period</t>
  </si>
  <si>
    <t>Investment &amp; Savings Products Income Before Income Taxes</t>
  </si>
  <si>
    <t>Sales-based</t>
  </si>
  <si>
    <t>Asset-based</t>
  </si>
  <si>
    <t>Account-based</t>
  </si>
  <si>
    <t>Financial Analysis</t>
  </si>
  <si>
    <t>Fees paid based on client asset values (1)</t>
  </si>
  <si>
    <t>Fees paid based on fee-generating positions (2)</t>
  </si>
  <si>
    <t>Total other operating expenses</t>
  </si>
  <si>
    <t>U.S.</t>
  </si>
  <si>
    <t>Canada</t>
  </si>
  <si>
    <t>Total</t>
  </si>
  <si>
    <t>08d2f5e9-331c-467d-a01b-e169add927e7</t>
  </si>
  <si>
    <t>In whole dollars.</t>
  </si>
  <si>
    <t>Consolidated PFC, Consolidated PFS, Consolidated PLIC</t>
  </si>
  <si>
    <t>Consolidated Canada</t>
  </si>
  <si>
    <t>US</t>
  </si>
  <si>
    <t>CAN</t>
  </si>
  <si>
    <t>Consolidated PFC, Consolidated PFS, Consolidated PLIC, PSI Primerica Services, Inc., PRI Primerica, Inc.</t>
  </si>
  <si>
    <t>Interest Expense</t>
  </si>
  <si>
    <t>US Asset-based comm exp</t>
  </si>
  <si>
    <t>GAAP Operating Expense - Asset Based</t>
  </si>
  <si>
    <t>US Account-based comm exp</t>
  </si>
  <si>
    <t>GAAP OOP Expenses</t>
  </si>
  <si>
    <t>GAAP US Account Based Expenses</t>
  </si>
  <si>
    <t>GAAP Fund Related Expense</t>
  </si>
  <si>
    <t>CAN Asset-based comm exp</t>
  </si>
  <si>
    <t>Fund Administration Fee</t>
  </si>
  <si>
    <t>Recon</t>
  </si>
  <si>
    <t>U.S. Retail Mutual Funds</t>
  </si>
  <si>
    <t>Canada Retail Mutual Funds - with upfront sales comm</t>
  </si>
  <si>
    <t>Indexed Annuities</t>
  </si>
  <si>
    <t>Variable Annuities and other</t>
  </si>
  <si>
    <t>Total sales-based revenue generating product sales</t>
  </si>
  <si>
    <t>Managed Accounts</t>
  </si>
  <si>
    <t>Canada Retail Mutual Funds - no upfront sales comm</t>
  </si>
  <si>
    <t>Segregated Funds</t>
  </si>
  <si>
    <t>Total product sales</t>
  </si>
  <si>
    <t>Total Canada Retail Mutual Funds</t>
  </si>
  <si>
    <t>Total Canada product sales</t>
  </si>
  <si>
    <t>Total U.S. product sales</t>
  </si>
  <si>
    <t>Client asset values, beginning of period ($mills)</t>
  </si>
  <si>
    <t>Inflows</t>
  </si>
  <si>
    <t>Outflows (1)</t>
  </si>
  <si>
    <t>Net flows</t>
  </si>
  <si>
    <t>Change in market value, net and other (2)</t>
  </si>
  <si>
    <t>Client asset values, end of period</t>
  </si>
  <si>
    <t>Annualized net flows as % of beginning of period asset values</t>
  </si>
  <si>
    <t>Canada Retail Mutual Funds</t>
  </si>
  <si>
    <t>Total Canada average client assets</t>
  </si>
  <si>
    <t>Total U.S. average client assets</t>
  </si>
  <si>
    <t>Total average client assets</t>
  </si>
  <si>
    <t xml:space="preserve">Recordkeeping and custodial </t>
  </si>
  <si>
    <t xml:space="preserve">Recordkeeping only </t>
  </si>
  <si>
    <t>612950:Acquisition &amp; Integration Fees Operated Out</t>
  </si>
  <si>
    <t>Commissions and fees</t>
  </si>
  <si>
    <t>2ed8bda2-342d-4e80-a28d-006a2720df36</t>
  </si>
  <si>
    <t>Corporate &amp; Other Distributed Products Income Before Income Taxes</t>
  </si>
  <si>
    <t>Mortgage loans</t>
  </si>
  <si>
    <t>Sales commissions</t>
  </si>
  <si>
    <t>AUTOHM Automobile and Homeowners' Insurance (non-NBL)</t>
  </si>
  <si>
    <t>PPLEGL Prepaid Legal Services</t>
  </si>
  <si>
    <t>LOANBK Loan Brokerage Business</t>
  </si>
  <si>
    <t>PMLLC Primerica Mortgage LLC</t>
  </si>
  <si>
    <t>GAAP Award Amortization</t>
  </si>
  <si>
    <t>Operating Adjustment - Expenses</t>
  </si>
  <si>
    <t>ETQ RSA/NCI Comp Expense</t>
  </si>
  <si>
    <t>Less: Realized investment gains/(losses)</t>
  </si>
  <si>
    <t>Check</t>
  </si>
  <si>
    <t>% of Total</t>
  </si>
  <si>
    <t>Avg</t>
  </si>
  <si>
    <t>Market</t>
  </si>
  <si>
    <t xml:space="preserve">Amortized  </t>
  </si>
  <si>
    <t xml:space="preserve">Unrealized </t>
  </si>
  <si>
    <t xml:space="preserve">Market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</si>
  <si>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</si>
  <si>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</si>
  <si>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</si>
  <si>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</si>
  <si>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</si>
  <si>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</si>
  <si>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</si>
  <si>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</si>
  <si>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</si>
  <si>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</si>
  <si>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</si>
  <si>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</si>
  <si>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</si>
  <si>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</si>
  <si>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</si>
  <si>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Fixed-Maturity Securities - Effective Maturity</t>
  </si>
  <si>
    <t>Effective maturity</t>
  </si>
  <si>
    <t>&lt; 1 Yr.</t>
  </si>
  <si>
    <t>1-2 Yrs.</t>
  </si>
  <si>
    <t>2-5 Yrs.</t>
  </si>
  <si>
    <t>5-10 Yrs.</t>
  </si>
  <si>
    <t>&gt; 10 Yrs.</t>
  </si>
  <si>
    <t>Duration</t>
  </si>
  <si>
    <t>Fixed Income portfolio duration</t>
  </si>
  <si>
    <t>Note:  Investment Portfolio pages in this Financial Supplement exclude the Held to Maturity asset on our balance sheet.</t>
  </si>
  <si>
    <t>Data</t>
  </si>
  <si>
    <t>Group3</t>
  </si>
  <si>
    <t>Sum of Market Value</t>
  </si>
  <si>
    <t>Sum of Book Value</t>
  </si>
  <si>
    <t>Sum of Total Unrealized</t>
  </si>
  <si>
    <t>Sum of Market Value2</t>
  </si>
  <si>
    <t>Sum of Book Value2</t>
  </si>
  <si>
    <t>Sum of WtdBY</t>
  </si>
  <si>
    <t>Sum of WtdRating</t>
  </si>
  <si>
    <t>Cash &amp; Cash Equivalents</t>
  </si>
  <si>
    <t>Treasury</t>
  </si>
  <si>
    <t>AAA</t>
  </si>
  <si>
    <t>Government</t>
  </si>
  <si>
    <t>AA-</t>
  </si>
  <si>
    <t>Tax-Exempt Municipal</t>
  </si>
  <si>
    <t>AA</t>
  </si>
  <si>
    <t>Corporate</t>
  </si>
  <si>
    <t>BBB+</t>
  </si>
  <si>
    <t>Mortgage Backed</t>
  </si>
  <si>
    <t>Asset Backed</t>
  </si>
  <si>
    <t>Cmbs</t>
  </si>
  <si>
    <t>Private</t>
  </si>
  <si>
    <t>BBB</t>
  </si>
  <si>
    <t>Redeemable Preferred</t>
  </si>
  <si>
    <t>BBB-</t>
  </si>
  <si>
    <t>Grand Total</t>
  </si>
  <si>
    <t>A</t>
  </si>
  <si>
    <t>Convertible</t>
  </si>
  <si>
    <t>Perpetual Preferred</t>
  </si>
  <si>
    <t>Common Stock</t>
  </si>
  <si>
    <t>Mutual Fund</t>
  </si>
  <si>
    <t>(Multiple Items)</t>
  </si>
  <si>
    <t>Group5</t>
  </si>
  <si>
    <t>Insurance</t>
  </si>
  <si>
    <t>Energy</t>
  </si>
  <si>
    <t>Reits</t>
  </si>
  <si>
    <t>Consumer Cyclical</t>
  </si>
  <si>
    <t>Banking</t>
  </si>
  <si>
    <t>Technology</t>
  </si>
  <si>
    <t>Capital Goods</t>
  </si>
  <si>
    <t>Basic Industry</t>
  </si>
  <si>
    <t>Electric</t>
  </si>
  <si>
    <t>Finance Companies</t>
  </si>
  <si>
    <t>Transportation</t>
  </si>
  <si>
    <t>Communications</t>
  </si>
  <si>
    <t xml:space="preserve">Brokerage </t>
  </si>
  <si>
    <t>Financial Other</t>
  </si>
  <si>
    <t>Natural Gas</t>
  </si>
  <si>
    <t>Industrial Other</t>
  </si>
  <si>
    <t>Utility Other</t>
  </si>
  <si>
    <t>Owned No Guarantee</t>
  </si>
  <si>
    <t>Corporate Ck</t>
  </si>
  <si>
    <t>years</t>
  </si>
  <si>
    <t>Investment Portfolio Quality Ratings (1)</t>
  </si>
  <si>
    <t>Amortized  Cost</t>
  </si>
  <si>
    <t>Below Investment Grade</t>
  </si>
  <si>
    <t>NA</t>
  </si>
  <si>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</si>
  <si>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</si>
  <si>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</si>
  <si>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</si>
  <si>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</si>
  <si>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</si>
  <si>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</si>
  <si>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</si>
  <si>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</si>
  <si>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</si>
  <si>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</si>
  <si>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</si>
  <si>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</si>
  <si>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</si>
  <si>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</si>
  <si>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</si>
  <si>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Barclays Score2</t>
  </si>
  <si>
    <t>Barclays Score</t>
  </si>
  <si>
    <t>Group1</t>
  </si>
  <si>
    <t>Group2</t>
  </si>
  <si>
    <t>Group4</t>
  </si>
  <si>
    <t>Treasury and Government</t>
  </si>
  <si>
    <t>Net Investment Income by Source</t>
  </si>
  <si>
    <t>Fixed-maturity securities (available-for-sale)</t>
  </si>
  <si>
    <t>Fixed-maturity securities (held-to-maturity)</t>
  </si>
  <si>
    <t>Equity Securities</t>
  </si>
  <si>
    <t>Deposit asset underlying 10% reinsurance treaty</t>
  </si>
  <si>
    <t>Deposit asset - Mark to Market</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</si>
  <si>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</si>
  <si>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</si>
  <si>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</si>
  <si>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</si>
  <si>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</si>
  <si>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</si>
  <si>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</si>
  <si>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</si>
  <si>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</si>
  <si>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</si>
  <si>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A-</t>
  </si>
  <si>
    <t>Tab</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</si>
  <si>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</si>
  <si>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</si>
  <si>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</si>
  <si>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</si>
  <si>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</si>
  <si>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</si>
  <si>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</si>
  <si>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</si>
  <si>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</si>
  <si>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</si>
  <si>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</si>
  <si>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</si>
  <si>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</si>
  <si>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</si>
  <si>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</si>
  <si>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</si>
  <si>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</si>
  <si>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</si>
  <si>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BS</t>
  </si>
  <si>
    <t>Final</t>
  </si>
  <si>
    <t>Retirement of Shares</t>
  </si>
  <si>
    <t>Dave R. estimate</t>
  </si>
  <si>
    <t>Jonathan W. - APIC Rollforward</t>
  </si>
  <si>
    <t>Corp</t>
  </si>
  <si>
    <t>Total O/S Voting Shares</t>
  </si>
  <si>
    <t>Dasia - WASO Recalc - Summary - Stock</t>
  </si>
  <si>
    <t>Life 2</t>
  </si>
  <si>
    <t>Sales Force (BOP)</t>
  </si>
  <si>
    <t>New Lic</t>
  </si>
  <si>
    <t>Production Summary.xls</t>
  </si>
  <si>
    <t>Term</t>
  </si>
  <si>
    <t>Sales Force (EOP)</t>
  </si>
  <si>
    <t>Ann'l Issued prem</t>
  </si>
  <si>
    <t>New</t>
  </si>
  <si>
    <t>Issued Premium.xls</t>
  </si>
  <si>
    <t>Additions</t>
  </si>
  <si>
    <t>Issued policies</t>
  </si>
  <si>
    <t>Face Inforce (BOP</t>
  </si>
  <si>
    <t>Issued Face</t>
  </si>
  <si>
    <t>Term Life Face Amt. Rollforward.xls</t>
  </si>
  <si>
    <t>Terminated Face</t>
  </si>
  <si>
    <t>Currency impact</t>
  </si>
  <si>
    <t>Face Inforce (EOP)</t>
  </si>
  <si>
    <t>I&amp;S</t>
  </si>
  <si>
    <t>Sales</t>
  </si>
  <si>
    <t>US Retail Mutual Funds</t>
  </si>
  <si>
    <t>FIA</t>
  </si>
  <si>
    <t>VA / 401k / FA</t>
  </si>
  <si>
    <t>401k Final</t>
  </si>
  <si>
    <t>Total Rev Gen Sales</t>
  </si>
  <si>
    <t>Managed Mutual Funds</t>
  </si>
  <si>
    <t>Canada Retail Mutual Funds - zero commission</t>
  </si>
  <si>
    <t>AUM (BOP)</t>
  </si>
  <si>
    <t>AUM Rollforward.xls</t>
  </si>
  <si>
    <t>Outflows</t>
  </si>
  <si>
    <t>Change in market value</t>
  </si>
  <si>
    <t>AUM (EOP)</t>
  </si>
  <si>
    <t>Jay B. - Estimates</t>
  </si>
  <si>
    <t>AUM.xls</t>
  </si>
  <si>
    <t>Average AUM</t>
  </si>
  <si>
    <t>IA</t>
  </si>
  <si>
    <t>Average TA accounts</t>
  </si>
  <si>
    <t>ISP Accts.xls</t>
  </si>
  <si>
    <t>Average Custodial accounts</t>
  </si>
  <si>
    <t>5 YR</t>
  </si>
  <si>
    <t>Recruits</t>
  </si>
  <si>
    <t>Closed US Mortgage Volume (brokered)</t>
  </si>
  <si>
    <t>Weighted Average Shares</t>
  </si>
  <si>
    <t>Operating Basic - Income attributable to unvested participating securities</t>
  </si>
  <si>
    <t>YTD Operating Basic - Income attributable to unvested participating securities</t>
  </si>
  <si>
    <t>Operating Diluted - Income attributable to unvested participating securities</t>
  </si>
  <si>
    <t>YTD Operating Diluted - Income attributable to unvested participating securities</t>
  </si>
  <si>
    <t>YTD Weighted Average Shares</t>
  </si>
  <si>
    <t>A1</t>
  </si>
  <si>
    <t>A+</t>
  </si>
  <si>
    <t>Baa1</t>
  </si>
  <si>
    <t>a-</t>
  </si>
  <si>
    <t>Tax impact of reconciling items</t>
  </si>
  <si>
    <t>(Dollars in millions)</t>
  </si>
  <si>
    <t>Issued term life face amount</t>
  </si>
  <si>
    <t>Term life face amount in force, end of period</t>
  </si>
  <si>
    <t>Estimated annualized issued term life premium</t>
  </si>
  <si>
    <t>Investment &amp; Savings product sales</t>
  </si>
  <si>
    <t>Investment &amp; Savings average client asset values</t>
  </si>
  <si>
    <t>Closed U.S. Mortgage Volume (brokered)</t>
  </si>
  <si>
    <t>Supplemental Financial Information</t>
  </si>
  <si>
    <t>Page</t>
  </si>
  <si>
    <t>Segment operating results:</t>
  </si>
  <si>
    <t>Q4</t>
  </si>
  <si>
    <t>Q1</t>
  </si>
  <si>
    <t>Q2</t>
  </si>
  <si>
    <t>Q3</t>
  </si>
  <si>
    <t>Distribution Results</t>
  </si>
  <si>
    <t>Condensed Consolidated Statements of Income</t>
  </si>
  <si>
    <t>GAAP Financial Results</t>
  </si>
  <si>
    <t>% Change</t>
  </si>
  <si>
    <t>Net Income</t>
  </si>
  <si>
    <t>Life-Licensed Sales Force*</t>
  </si>
  <si>
    <t>Stockholder's Equity</t>
  </si>
  <si>
    <t>Diluted EPS</t>
  </si>
  <si>
    <t>New Life-Licensed Representatives</t>
  </si>
  <si>
    <t>Book value per share</t>
  </si>
  <si>
    <t>Life Insurance Policies Issued</t>
  </si>
  <si>
    <t>ROE</t>
  </si>
  <si>
    <t>ESTIMATE</t>
  </si>
  <si>
    <t>Life Productivity</t>
  </si>
  <si>
    <t>ISP Product Sales ($ billions)</t>
  </si>
  <si>
    <t>Adjusted Operating Financial Results</t>
  </si>
  <si>
    <t>Average Client Asset Values ($ billions)</t>
  </si>
  <si>
    <t>Realized investment gains (losses)</t>
  </si>
  <si>
    <t>Adjusted stockholders' equity</t>
  </si>
  <si>
    <t>Closed U.S. Mortgage Volume ($ million)</t>
  </si>
  <si>
    <t xml:space="preserve"> </t>
  </si>
  <si>
    <t>*at EOP</t>
  </si>
  <si>
    <t>Adjusted book value per share</t>
  </si>
  <si>
    <t>Adjusted operating ROAE</t>
  </si>
  <si>
    <t>Segment Results</t>
  </si>
  <si>
    <t>Sales Force</t>
  </si>
  <si>
    <t>Adjusted Operating Revenues:</t>
  </si>
  <si>
    <t>Life insurance licensed sales force</t>
  </si>
  <si>
    <t>Term Life Insurance</t>
  </si>
  <si>
    <t>New life licenses representatives</t>
  </si>
  <si>
    <t>Investment and Savings Products</t>
  </si>
  <si>
    <t>Life insurance licensed sales force*</t>
  </si>
  <si>
    <t>Corporate and Other Distributed Products</t>
  </si>
  <si>
    <t>Issued Term Life Policies</t>
  </si>
  <si>
    <t>Total adjusted operating revenues</t>
  </si>
  <si>
    <t>Term Life Production</t>
  </si>
  <si>
    <t>Issued life insurance policies</t>
  </si>
  <si>
    <t>Adjusted Operating Income (Loss) before income taxes:</t>
  </si>
  <si>
    <t>Face amount issued</t>
  </si>
  <si>
    <t>Life insurance face amount in force*</t>
  </si>
  <si>
    <t>Productivity</t>
  </si>
  <si>
    <t>YE</t>
  </si>
  <si>
    <t xml:space="preserve">Total adjusted operating income </t>
  </si>
  <si>
    <t>ISP Production</t>
  </si>
  <si>
    <t>Average Asset Value</t>
  </si>
  <si>
    <t>before income taxes</t>
  </si>
  <si>
    <t>Earnings per share:</t>
  </si>
  <si>
    <t>Client asset values*</t>
  </si>
  <si>
    <t>Average client asset values</t>
  </si>
  <si>
    <t>Condensed Consolidated Balance Sheets</t>
  </si>
  <si>
    <t>Weighted-average shares used in computing</t>
  </si>
  <si>
    <t>Operating Results - Term</t>
  </si>
  <si>
    <t>Assets</t>
  </si>
  <si>
    <t xml:space="preserve">  earnings per share:</t>
  </si>
  <si>
    <t>Investments:</t>
  </si>
  <si>
    <t>Basic</t>
  </si>
  <si>
    <t>Premium ceded to IPO coinsurers</t>
  </si>
  <si>
    <t>Fixed-maturity securities available-for-sale, at fair value</t>
  </si>
  <si>
    <t>N/A - "Total investments and cash"</t>
  </si>
  <si>
    <t>Diluted</t>
  </si>
  <si>
    <t>Adjusted direct premiums (ADP)</t>
  </si>
  <si>
    <t>Fixed-maturity security held-to-maturity, at amortized cost</t>
  </si>
  <si>
    <t>Operating revenues</t>
  </si>
  <si>
    <t>Short-term investments available-for-sale, at fair value</t>
  </si>
  <si>
    <t>Operating income before income taxes</t>
  </si>
  <si>
    <t>Equity securities, at fair value</t>
  </si>
  <si>
    <t>Consolidated Adjusted Operating Results Reconciliation</t>
  </si>
  <si>
    <t>Trading securities, at fair value</t>
  </si>
  <si>
    <t>Operating Results - Term Key Ratios</t>
  </si>
  <si>
    <t>Policy loans</t>
  </si>
  <si>
    <t>Benefits and claims, net</t>
  </si>
  <si>
    <t>Total investments</t>
  </si>
  <si>
    <t>DAC amortization &amp; insurance commisions</t>
  </si>
  <si>
    <t>Cash and cash equivalents</t>
  </si>
  <si>
    <t>Less: Realized investment gains (losses)</t>
  </si>
  <si>
    <t>Insurance expenses, net</t>
  </si>
  <si>
    <t>Less: 10% deposit asset MTM included in NII</t>
  </si>
  <si>
    <t>Term life income before income taxes</t>
  </si>
  <si>
    <t>Accrued investment income</t>
  </si>
  <si>
    <t>N/A - "Other Assets"</t>
  </si>
  <si>
    <t>Reinsurance recoverables</t>
  </si>
  <si>
    <t>Operating Results - ISP</t>
  </si>
  <si>
    <t>Deferred policy acquisition costs, net</t>
  </si>
  <si>
    <t>Sales-based revenues</t>
  </si>
  <si>
    <t>Asset-based revenues</t>
  </si>
  <si>
    <t>Agent balances, due premiums and other receivables</t>
  </si>
  <si>
    <t>Account-based revenues</t>
  </si>
  <si>
    <t>Intangible assets, net</t>
  </si>
  <si>
    <t>Total operating revenues</t>
  </si>
  <si>
    <t>Operating lease right-of-use assets</t>
  </si>
  <si>
    <t>Operating Results - ISP Key Ratios</t>
  </si>
  <si>
    <t>Sales-based net revenue as % of revenue-</t>
  </si>
  <si>
    <t>Liabilities and Stockholders' Equity</t>
  </si>
  <si>
    <t>generating sales</t>
  </si>
  <si>
    <t>Asset-based net revenue as % of average</t>
  </si>
  <si>
    <t>asset values</t>
  </si>
  <si>
    <t>Unearned and advance premiums</t>
  </si>
  <si>
    <t>N/A - "Other policy liabilities"</t>
  </si>
  <si>
    <t>Account-based net revenue per average</t>
  </si>
  <si>
    <t>Policy claims and other benefits payable</t>
  </si>
  <si>
    <t>fee generating position</t>
  </si>
  <si>
    <t>Other policyholders' funds</t>
  </si>
  <si>
    <t>Operating lease liabilities</t>
  </si>
  <si>
    <t>N/A - "Other liabilities"</t>
  </si>
  <si>
    <t>Diluted earnings per share (1)</t>
  </si>
  <si>
    <t>Less: Net after-tax impact of operating adjustments</t>
  </si>
  <si>
    <t>Diluted adjusted operating earnings per share (1)</t>
  </si>
  <si>
    <t>(1)	Percentage change in earnings per share is calculated prior to rounding per share amounts.</t>
  </si>
  <si>
    <t>Temporary Stockholders' equity:</t>
  </si>
  <si>
    <t>Redeemable noncontrolling interests in consolidated entities</t>
  </si>
  <si>
    <t>Term - Adjusted Premiums Reconciliation</t>
  </si>
  <si>
    <t>Stockholders' equity:</t>
  </si>
  <si>
    <t>Common stock</t>
  </si>
  <si>
    <t>Insurance &amp; Operating Expenses</t>
  </si>
  <si>
    <t>ISP</t>
  </si>
  <si>
    <t>Less: Premiums ceded to IPO coinsurers</t>
  </si>
  <si>
    <t>Accumulated other comprehensive income (loss),</t>
  </si>
  <si>
    <t>Adjusted direct premiums</t>
  </si>
  <si>
    <t xml:space="preserve">  net of income tax</t>
  </si>
  <si>
    <t>Total liabilities and stockholders' equity</t>
  </si>
  <si>
    <t>Other ceded premiums</t>
  </si>
  <si>
    <t>This range is not dynamic - does not change with the changing of Quarter/Year on this page. Fixed to current "Inv 1" tab</t>
  </si>
  <si>
    <t>Key Portfolio Attributes*</t>
  </si>
  <si>
    <t>Fixed income / other mix</t>
  </si>
  <si>
    <t>Fixed income average book yield</t>
  </si>
  <si>
    <t>Average rating</t>
  </si>
  <si>
    <t>Investment grade / BIG mix</t>
  </si>
  <si>
    <t>Average duration</t>
  </si>
  <si>
    <t>Market value</t>
  </si>
  <si>
    <t>Net unrealized gain / (loss)</t>
  </si>
  <si>
    <t>*based on amortized cost, (except for 
  market value); excludes cash, period end</t>
  </si>
  <si>
    <t>Market Value and Yield of Maturities</t>
  </si>
  <si>
    <t>CNO - Adjusted Operating Results Reconciliation</t>
  </si>
  <si>
    <t>Yield to maturity</t>
  </si>
  <si>
    <t>Adjusted operating loss before income taxes</t>
  </si>
  <si>
    <t>Stockholders' equity</t>
  </si>
  <si>
    <t>Less: Unrealized net investment gains (losses) recorded</t>
  </si>
  <si>
    <t>minvar</t>
  </si>
  <si>
    <t>maxvar</t>
  </si>
  <si>
    <t>Diluted adjusted operating EPS</t>
  </si>
  <si>
    <t>Book</t>
  </si>
  <si>
    <t>in stockholders' equity, net of income tax</t>
  </si>
  <si>
    <t>Financial Results and Other Statistical Data</t>
  </si>
  <si>
    <t>Statements of Income</t>
  </si>
  <si>
    <t>Reconciliation of Statement of Income GAAP to Non-GAAP Financial Measures</t>
  </si>
  <si>
    <t>Term Life Insurance - Financial Results and Analysis</t>
  </si>
  <si>
    <t>Term Life Insurance - Key Statistics</t>
  </si>
  <si>
    <t>Corporate &amp; Other Distributed Products - Financial Results</t>
  </si>
  <si>
    <t>Investment Portfolio - Summary of Holdings</t>
  </si>
  <si>
    <t>Investment Portfolio - Supplemental Data and Trends</t>
  </si>
  <si>
    <t>Five-Year Historical Key Statistics</t>
  </si>
  <si>
    <t>Financial Supplement</t>
  </si>
  <si>
    <t>Table of Contents</t>
  </si>
  <si>
    <t>Preface</t>
  </si>
  <si>
    <t>Condensed balance sheets and reconciliation of balance sheet non-GAAP to GAAP financial measures</t>
  </si>
  <si>
    <t>Financial results and other statistical data</t>
  </si>
  <si>
    <t>Statements of income</t>
  </si>
  <si>
    <t>Reconciliation of statement of income GAAP to non-GAAP financial measures</t>
  </si>
  <si>
    <t>Investment portfolio</t>
  </si>
  <si>
    <t>Five-year historical key statistics</t>
  </si>
  <si>
    <t>Investment and Savings Products segment - financial results, financial analysis, and key statistics</t>
  </si>
  <si>
    <t>Corporate &amp; Other Distributed Products segment - financial results</t>
  </si>
  <si>
    <t>9f853758-66f9-4898-bee2-4f32824b5a5c</t>
  </si>
  <si>
    <t>GAAP Net Income</t>
  </si>
  <si>
    <t>Equity + NCI</t>
  </si>
  <si>
    <t>Liabilities</t>
  </si>
  <si>
    <t>Balance Check</t>
  </si>
  <si>
    <t>DAC roll</t>
  </si>
  <si>
    <t>DAC Amort = IS</t>
  </si>
  <si>
    <t>Equity Roll</t>
  </si>
  <si>
    <t>Adjusted issued policies</t>
  </si>
  <si>
    <t>Remeasurement (gain)/loss</t>
  </si>
  <si>
    <t>Operating Adjustments (pretax)</t>
  </si>
  <si>
    <t>Operating Income</t>
  </si>
  <si>
    <t>Non Rounded Actual Tax Rate - GAAP</t>
  </si>
  <si>
    <t>For EPS</t>
  </si>
  <si>
    <t>Debt-to-capital is that of the parent company only.  Capital in the debt-to-capital ratio includes stockholders' equity and the note payable.</t>
  </si>
  <si>
    <t>use formula/Jay's estimate until receive data (usually not until after Draft #1)</t>
  </si>
  <si>
    <t>Tax Estimate?</t>
  </si>
  <si>
    <t>Est Rate:</t>
  </si>
  <si>
    <t>PRI Primerica, Inc.</t>
  </si>
  <si>
    <t>Adjusted direct premiums (2)</t>
  </si>
  <si>
    <t>Adjusted Stockholders' Equity Roll Forward</t>
  </si>
  <si>
    <t>Deferred Policy Acquisition Costs Roll Forward</t>
  </si>
  <si>
    <t>Equity Roll Forward</t>
  </si>
  <si>
    <t>DAC Roll Forward</t>
  </si>
  <si>
    <t>GAAP Remeasurement Gain/Loss</t>
  </si>
  <si>
    <t>Dasia - WASO Recalc - Summary - QTD Weighted - Vested</t>
  </si>
  <si>
    <t>Dasia - WASO Recalc - Summary - YTD Weighted - Vested</t>
  </si>
  <si>
    <t>Oper Income = Recon</t>
  </si>
  <si>
    <t>IS</t>
  </si>
  <si>
    <t>Total Rev = Segments</t>
  </si>
  <si>
    <t>CNO</t>
  </si>
  <si>
    <t>Tax Impact of Reconciling items</t>
  </si>
  <si>
    <t>Net Income = System</t>
  </si>
  <si>
    <t>Revenue = System</t>
  </si>
  <si>
    <t>Expense = System</t>
  </si>
  <si>
    <t>NI to PRI = System</t>
  </si>
  <si>
    <t>Oper NII = CNO NII</t>
  </si>
  <si>
    <t>Operating Rev = Segments</t>
  </si>
  <si>
    <t>Operating EBIT = Segments</t>
  </si>
  <si>
    <t>Oper Rev = System</t>
  </si>
  <si>
    <t>Oper Pretax = System</t>
  </si>
  <si>
    <t>Life 1</t>
  </si>
  <si>
    <t>Total Pretax = Seg Total Pretax</t>
  </si>
  <si>
    <t>Term Pretax = Term tab</t>
  </si>
  <si>
    <t>ISP Pretax = ISP tab</t>
  </si>
  <si>
    <t>CNO Pretax = CNO tab</t>
  </si>
  <si>
    <t>Rev = System</t>
  </si>
  <si>
    <t>Pretax = System</t>
  </si>
  <si>
    <t>Direct Prem Recon</t>
  </si>
  <si>
    <t>Pretax Income Check</t>
  </si>
  <si>
    <t>ISP 1</t>
  </si>
  <si>
    <t>Account Based Revenue</t>
  </si>
  <si>
    <t>Asset Based Revenue</t>
  </si>
  <si>
    <t>Other Distributive Revenue</t>
  </si>
  <si>
    <t>Sales Based Revenue</t>
  </si>
  <si>
    <t>Adj Expense</t>
  </si>
  <si>
    <t>Inv</t>
  </si>
  <si>
    <t>NII = IS</t>
  </si>
  <si>
    <t>Effect of change in discount rate assumptions on the liability for future policy benefits</t>
  </si>
  <si>
    <t>Future policy benefits remeasurement (gain)/loss</t>
  </si>
  <si>
    <t>Less: Effect of change in discount rate assumptions on the liability for future policy benefits</t>
  </si>
  <si>
    <r>
      <rPr>
        <b/>
        <sz val="14"/>
        <color theme="1"/>
        <rFont val="Arial"/>
        <family val="2"/>
      </rPr>
      <t>PRIMERICA, INC.</t>
    </r>
    <r>
      <rPr>
        <sz val="11"/>
        <color theme="1"/>
        <rFont val="Arial"/>
        <family val="2"/>
      </rPr>
      <t xml:space="preserve">
Financial Supplement</t>
    </r>
  </si>
  <si>
    <r>
      <t>Total Fixed Income portfolio:</t>
    </r>
    <r>
      <rPr>
        <sz val="11"/>
        <color indexed="8"/>
        <rFont val="Arial"/>
        <family val="2"/>
      </rPr>
      <t xml:space="preserve"> </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</si>
  <si>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</si>
  <si>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</si>
  <si>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</si>
  <si>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</si>
  <si>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</si>
  <si>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</si>
  <si>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rPr>
        <u/>
        <sz val="11"/>
        <color theme="1"/>
        <rFont val="Arial"/>
        <family val="2"/>
      </rPr>
      <t>Estimated annualized issued term life premium</t>
    </r>
    <r>
      <rPr>
        <sz val="11"/>
        <color theme="1"/>
        <rFont val="Arial"/>
        <family val="2"/>
      </rPr>
      <t xml:space="preserve"> - estimated as average premium per $1,000 of face amounts issued on new policies and additions (before free look returns) multiplied by actual face amount issued on new policies, rider additions and face amount increases.</t>
    </r>
  </si>
  <si>
    <r>
      <rPr>
        <u/>
        <sz val="11"/>
        <color theme="1"/>
        <rFont val="Arial"/>
        <family val="2"/>
      </rPr>
      <t>Issued term life face amount</t>
    </r>
    <r>
      <rPr>
        <sz val="11"/>
        <color theme="1"/>
        <rFont val="Arial"/>
        <family val="2"/>
      </rPr>
      <t xml:space="preserve"> - includes face amount on issued term life policies, additional riders added to existing policies, and face increases under increasing benefit riders.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</si>
  <si>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</si>
  <si>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</si>
  <si>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</si>
  <si>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</si>
  <si>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</si>
  <si>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r>
      <t>Insurance expenses, net</t>
    </r>
    <r>
      <rPr>
        <sz val="11"/>
        <color indexed="8"/>
        <rFont val="Arial"/>
        <family val="2"/>
      </rPr>
      <t xml:space="preserve"> - insurance expenses net of other, net revenues.</t>
    </r>
  </si>
  <si>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</si>
  <si>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</si>
  <si>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</si>
  <si>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t>US$ denominated investments in issuers outside of the United States based on country of risk</t>
  </si>
  <si>
    <t>Emerging markets is as defined by MSCI, Inc. which include Chile, India, Peru, Poland and South Africa</t>
  </si>
  <si>
    <t>Dasia - EPS Calc</t>
  </si>
  <si>
    <t>Final Signoff</t>
  </si>
  <si>
    <t>Ben Est Rate - Corp Tab</t>
  </si>
  <si>
    <t>EPS Estimate?</t>
  </si>
  <si>
    <t>Term Pretax = Operating</t>
  </si>
  <si>
    <t>ISP Pretax = Operating</t>
  </si>
  <si>
    <t>Sales-based (1)</t>
  </si>
  <si>
    <t>Asset-based (2)</t>
  </si>
  <si>
    <t>Account-based (3)</t>
  </si>
  <si>
    <r>
      <rPr>
        <u/>
        <sz val="11"/>
        <color rgb="FF000000"/>
        <rFont val="Arial"/>
        <family val="2"/>
      </rPr>
      <t>Average number of fee-generating positions</t>
    </r>
    <r>
      <rPr>
        <sz val="11"/>
        <color rgb="FF000000"/>
        <rFont val="Arial"/>
        <family val="2"/>
      </rPr>
      <t xml:space="preserve"> (thous) (3)</t>
    </r>
  </si>
  <si>
    <t>U.S. Insurer Fixed Income (2)</t>
  </si>
  <si>
    <t>Other (3)</t>
  </si>
  <si>
    <t>pivot</t>
  </si>
  <si>
    <t>Workday</t>
  </si>
  <si>
    <t>policy loans</t>
  </si>
  <si>
    <t xml:space="preserve">Less: held to maturity sec-116010 </t>
  </si>
  <si>
    <t>inv assets g/l</t>
  </si>
  <si>
    <t>diff</t>
  </si>
  <si>
    <t>Update Effective Maturity &amp; Duration Manually</t>
  </si>
  <si>
    <t>Market
Value</t>
  </si>
  <si>
    <t>Amortized
Cost</t>
  </si>
  <si>
    <t>Credit
Rating</t>
  </si>
  <si>
    <t>Top 25 Exposures</t>
  </si>
  <si>
    <t>Province of Alberta Canada</t>
  </si>
  <si>
    <t>United Kingdom</t>
  </si>
  <si>
    <t>Province of Quebec Canada</t>
  </si>
  <si>
    <t>Australia</t>
  </si>
  <si>
    <t>Province of Ontario Canada</t>
  </si>
  <si>
    <t>Mexico</t>
  </si>
  <si>
    <t>France</t>
  </si>
  <si>
    <t>AA+</t>
  </si>
  <si>
    <t>Bermuda</t>
  </si>
  <si>
    <t>Manulife Financial Corp</t>
  </si>
  <si>
    <t>Morgan Stanley</t>
  </si>
  <si>
    <t>Luxembourg</t>
  </si>
  <si>
    <t>Ireland</t>
  </si>
  <si>
    <t>Non-Government Investments (1)</t>
  </si>
  <si>
    <t>All Other</t>
  </si>
  <si>
    <t>Intact Financial Corp</t>
  </si>
  <si>
    <t>% of total fixed income portfolio</t>
  </si>
  <si>
    <t>Foreign Exposure (1)</t>
  </si>
  <si>
    <t>Government Investments (1)</t>
  </si>
  <si>
    <t>Update</t>
  </si>
  <si>
    <t>Manually</t>
  </si>
  <si>
    <t>Update Manually</t>
  </si>
  <si>
    <t>ONEOK Inc</t>
  </si>
  <si>
    <t>Dave Estimate</t>
  </si>
  <si>
    <t>2024 - Q4</t>
  </si>
  <si>
    <t/>
  </si>
  <si>
    <t>Total stockholders’ equity</t>
  </si>
  <si>
    <t>Average stockholders' equity</t>
  </si>
  <si>
    <t>Average adjusted stockholders' equity</t>
  </si>
  <si>
    <t>Issued term life face amount (3)</t>
  </si>
  <si>
    <t>Dave estimate</t>
  </si>
  <si>
    <t>Realty Income Corp</t>
  </si>
  <si>
    <t>Check Clear Out</t>
  </si>
  <si>
    <t>Balance Sheets and Reconciliation of Balance Sheet Non-GAAP to GAAP Financial Measures</t>
  </si>
  <si>
    <t>Balance Sheets</t>
  </si>
  <si>
    <t>409760:Other Gain, Non-Operating Income</t>
  </si>
  <si>
    <t>Insurance Proceeds</t>
  </si>
  <si>
    <t>Sales-based variable margin as % of revenue-generating sales (3)</t>
  </si>
  <si>
    <t>Asset-based variable margin as % of average asset values (4)</t>
  </si>
  <si>
    <t>Account-based variable margin per average fee generating position (5)(6)</t>
  </si>
  <si>
    <r>
      <t>Sales-based variable margin</t>
    </r>
    <r>
      <rPr>
        <sz val="11"/>
        <color indexed="8"/>
        <rFont val="Arial"/>
        <family val="2"/>
      </rPr>
      <t xml:space="preserve"> - commission and fee revenue less commissions paid to the sales force based on product sales activity.</t>
    </r>
  </si>
  <si>
    <r>
      <t>Asset-based variable margin</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</si>
  <si>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variable margin</t>
    </r>
    <r>
      <rPr>
        <sz val="11"/>
        <color indexed="8"/>
        <rFont val="Arial"/>
        <family val="2"/>
      </rPr>
      <t xml:space="preserve"> - fee revenue less recordkeeping fees paid to third-party providers based on fee-generating positions and certain direct general expenses.</t>
    </r>
  </si>
  <si>
    <t>Province of Nova Scotia Canada</t>
  </si>
  <si>
    <t>Alimentation Couche-Tard Inc</t>
  </si>
  <si>
    <t>Germany</t>
  </si>
  <si>
    <t>Preface, definition of non-GAAP financial measures</t>
  </si>
  <si>
    <t>Term Life Insurance segment - financial results, financial analysis, and key statistics</t>
  </si>
  <si>
    <t>Share count reflects outstanding common shares, which excludes restricted stock units (RSUs).</t>
  </si>
  <si>
    <t>Reconciliation from Term Life Insurance Direct Premiums to Term Life Insurance Adjusted Direct Premiums</t>
  </si>
  <si>
    <t>Term Life Insurance direct premiums</t>
  </si>
  <si>
    <t>Term Life Insurance adjusted direct premiums</t>
  </si>
  <si>
    <t>Reconciliation from Term Life Insurance Ceded Premiums to Term Life Insurance Other Ceded Premiums</t>
  </si>
  <si>
    <t>Term Life Insurance ceded premiums</t>
  </si>
  <si>
    <t>Term Life Insurance other ceded premiums</t>
  </si>
  <si>
    <r>
      <t xml:space="preserve">Term Life Insurance operating margin </t>
    </r>
    <r>
      <rPr>
        <sz val="11"/>
        <color indexed="8"/>
        <rFont val="Arial"/>
        <family val="2"/>
      </rPr>
      <t>- Term Life operating income before income taxes as a percentage of adjusted direct premiums.</t>
    </r>
  </si>
  <si>
    <t>Less: Investment (losses) gains</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</si>
  <si>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</si>
  <si>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Prepaid legal services</t>
  </si>
  <si>
    <t>Auto and homeowners insurance</t>
  </si>
  <si>
    <r>
      <t>Benefits and claims, net</t>
    </r>
    <r>
      <rPr>
        <sz val="11"/>
        <color indexed="8"/>
        <rFont val="Arial"/>
        <family val="2"/>
      </rPr>
      <t xml:space="preserve"> - benefits &amp; claims and remeasurement (gain)/loss net of other ceded premiums which are largely yearly renewable term.</t>
    </r>
  </si>
  <si>
    <t>Less: Tax impact of preceding items</t>
  </si>
  <si>
    <t>Impairment of other long-lived assets</t>
  </si>
  <si>
    <t>Deferred tax benefit of impairment of other long-lived assets</t>
  </si>
  <si>
    <t>Valuation allowance on Senior Health state net operating losses</t>
  </si>
  <si>
    <t>Less: Realized investment (losses) gains</t>
  </si>
  <si>
    <t>Shares used to calculate diluted EPS</t>
  </si>
  <si>
    <t>Debt-to-capital (1)</t>
  </si>
  <si>
    <t>Debt-to-capital, excluding AOCI (1)</t>
  </si>
  <si>
    <t>Share count, end of period (2)</t>
  </si>
  <si>
    <t>Net income used in computing basic EPS</t>
  </si>
  <si>
    <t>Net income used in computing diluted EPS</t>
  </si>
  <si>
    <t>na</t>
  </si>
  <si>
    <t>Net Income Check</t>
  </si>
  <si>
    <t>GAAP Net Income from Continuing Ops</t>
  </si>
  <si>
    <t>Continuing Ops = System</t>
  </si>
  <si>
    <t>Net income from continuing operations</t>
  </si>
  <si>
    <t>include any rounding adjustments in FX</t>
  </si>
  <si>
    <t>Term life face amount in-force, beginning of period</t>
  </si>
  <si>
    <t>Investment and Savings Products - Financial Results and Analysis</t>
  </si>
  <si>
    <t>Investment and Savings Products - Key Statistics</t>
  </si>
  <si>
    <t>GAAP Basic - Income from continuing ops attributable to unvested participating securities</t>
  </si>
  <si>
    <t>YTD GAAP Basic - Income from continuing ops attributable to unvested participating securities</t>
  </si>
  <si>
    <t>GAAP Diluted - Income from continuing ops attributable to unvested participating securities</t>
  </si>
  <si>
    <t>YTD GAAP Diluted - Income from continuing ops attributable to unvested participating securities</t>
  </si>
  <si>
    <t>Italy</t>
  </si>
  <si>
    <t>Income (loss) before income taxes</t>
  </si>
  <si>
    <t>Less: Effect of change in discount rate assumptions</t>
  </si>
  <si>
    <t>on the liability for future policy benefits</t>
  </si>
  <si>
    <t>Adjusted Stockholders' Equity Reconciliation</t>
  </si>
  <si>
    <t>2025 - Q1</t>
  </si>
  <si>
    <t>2025 - Q2</t>
  </si>
  <si>
    <t>2025 - Q3</t>
  </si>
  <si>
    <t>2025 - Q4</t>
  </si>
  <si>
    <t>Term Life</t>
  </si>
  <si>
    <t>Corporate &amp; other</t>
  </si>
  <si>
    <t>Consolidated Insurance &amp; Other Operating Expenses</t>
  </si>
  <si>
    <t>Province of New Brunswick Canada</t>
  </si>
  <si>
    <t>Spain</t>
  </si>
  <si>
    <t>Less:</t>
  </si>
  <si>
    <t>`</t>
  </si>
  <si>
    <t>Province of British Columbia Canada</t>
  </si>
  <si>
    <t>Norway</t>
  </si>
  <si>
    <t>Consumer Non Cyclical</t>
  </si>
  <si>
    <t>Net income</t>
  </si>
  <si>
    <t>Net income return on stockholders' equity</t>
  </si>
  <si>
    <t>Net income return on adjusted stockholders' equity</t>
  </si>
  <si>
    <t>2026 - Q1</t>
  </si>
  <si>
    <t>2026 - Q2</t>
  </si>
  <si>
    <t>2026 - Q3</t>
  </si>
  <si>
    <t>2026 - Q4</t>
  </si>
  <si>
    <t>09ecf24c-f37d-4601-a072-35a8b7d5950a</t>
  </si>
  <si>
    <t>Income Before Income Taxes by Segment</t>
  </si>
  <si>
    <t>Reconciliation from Income Before Income Taxes to Adjusted Operating Income Before Income Taxes</t>
  </si>
  <si>
    <t xml:space="preserve">Reconciliation from Net Income to Adjusted Net Operating Income </t>
  </si>
  <si>
    <t>7</t>
  </si>
  <si>
    <t>8-9</t>
  </si>
  <si>
    <t>10-11</t>
  </si>
  <si>
    <t>13-15</t>
  </si>
  <si>
    <t>Retirement of shares</t>
  </si>
  <si>
    <t>Income Before Income Taxes</t>
  </si>
  <si>
    <t>Net Income = IS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</si>
  <si>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2025.</t>
  </si>
  <si>
    <t>NO</t>
  </si>
  <si>
    <t>T-Mobile US Inc</t>
  </si>
  <si>
    <t>Enbridge Inc</t>
  </si>
  <si>
    <t>Oracle Corp</t>
  </si>
  <si>
    <t>Parker-Hannifin Corp</t>
  </si>
  <si>
    <t>Wells Fargo &amp; Co</t>
  </si>
  <si>
    <t>Enel SpA</t>
  </si>
  <si>
    <t>Hercules Capital Inc</t>
  </si>
  <si>
    <t>MPLX LP</t>
  </si>
  <si>
    <t>Cayman Islands</t>
  </si>
  <si>
    <t>Panama</t>
  </si>
  <si>
    <t>Derivative</t>
  </si>
  <si>
    <t>Total Public Corporate portfolio</t>
  </si>
  <si>
    <t>Public Corporate</t>
  </si>
  <si>
    <t>Mortgage-Backed</t>
  </si>
  <si>
    <t>Asset-Backed</t>
  </si>
  <si>
    <t>CMBS</t>
  </si>
  <si>
    <t>Private Placements</t>
  </si>
  <si>
    <t>Investment Portfolio by Rating</t>
  </si>
  <si>
    <t>Inv 1</t>
  </si>
  <si>
    <t>Inv 2</t>
  </si>
  <si>
    <t>Treasury &amp; Government</t>
  </si>
  <si>
    <t>KKR &amp; Co Inc</t>
  </si>
  <si>
    <t>Duke Energy Corp</t>
  </si>
  <si>
    <t>Golub Capital BDC Inc</t>
  </si>
  <si>
    <t>Sammons Enterprises Inc</t>
  </si>
  <si>
    <t>PNC Financial Services Group Inc/The</t>
  </si>
  <si>
    <t>Aruba</t>
  </si>
  <si>
    <t>Emerging Markets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</si>
</sst>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 \ \ ;[Red]\(#,##0\)\ \ ;\—\ \ \ \ "/>
    <numFmt numFmtId="166" formatCode="#,##0\ \ \ ;\(#,##0\)\ \ ;\—\ \ \ \ "/>
    <numFmt numFmtId="167" formatCode="&quot;$&quot;* #,##0\ \ \ ;&quot;$&quot;* \ \(#,##0\)\ \ ;&quot;$&quot;* \—\ \ \ \ "/>
    <numFmt numFmtId="168" formatCode="&quot;$&quot;* #,##0\ \ \ ;[Red]&quot;$&quot;* \ \(#,##0\)\ \ ;&quot;$&quot;* \—\ \ \ \ "/>
    <numFmt numFmtId="169" formatCode="0.0%"/>
    <numFmt numFmtId="170" formatCode="&quot;$&quot;* #,##0\ \ \ ;[Red]&quot;$&quot;* \(#,##0\)\ \ ;&quot;$&quot;* \—\ \ \ \ "/>
    <numFmt numFmtId="171" formatCode="[Black]0%"/>
    <numFmt numFmtId="172" formatCode="[Black]0.0%"/>
    <numFmt numFmtId="173" formatCode="&quot;$&quot;* #,##0.00\ \ \ ;[Red]&quot;$&quot;* \(#,##0.00\)\ \ ;&quot;$&quot;* \—\ \ \ \ "/>
    <numFmt numFmtId="174" formatCode="#,##0.00\ \ \ ;[Red]\(#,##0.00\)\ \ ;\—\ \ \ \ "/>
    <numFmt numFmtId="175" formatCode="#,##0.0\ \ \ ;[Red]\(#,##0.0\)\ \ ;\—\ \ \ \ "/>
    <numFmt numFmtId="176" formatCode="0.0\x_);\(0.0\x\)"/>
    <numFmt numFmtId="177" formatCode="0.000%"/>
    <numFmt numFmtId="178" formatCode="_(* #,##0.0_);_(* \(#,##0.0\);_(* &quot;-&quot;??_);_(@_)"/>
    <numFmt numFmtId="179" formatCode="&quot;$&quot;* #,##0.0\ \ \ ;[Red]&quot;$&quot;* \ \(#,##0.0\)\ \ ;&quot;$&quot;* \—\ \ \ \ "/>
    <numFmt numFmtId="180" formatCode="_(&quot;$&quot;* #,##0_);_(&quot;$&quot;* \(#,##0\);_(&quot;$&quot;* &quot;-&quot;??_);_(@_)"/>
    <numFmt numFmtId="181" formatCode="0_);\(0\)"/>
    <numFmt numFmtId="182" formatCode="0.00%;\ \-0.00%;\ \—"/>
    <numFmt numFmtId="183" formatCode="0.0%;\ \-0.0%;\ \—"/>
    <numFmt numFmtId="184" formatCode="_(* #,##0.000_);_(* \(#,##0.000\);_(* &quot;-&quot;??_);_(@_)"/>
    <numFmt numFmtId="185" formatCode="_(* #,##0.00000_);_(* \(#,##0.00000\);_(* &quot;-&quot;??_);_(@_)"/>
    <numFmt numFmtId="186" formatCode="&quot;$&quot;* #,##0.0\ \ \ ;[Red]&quot;$&quot;* \(#,##0.0\)\ \ ;&quot;$&quot;* \—\ \ \ \ "/>
    <numFmt numFmtId="187" formatCode="&quot;$&quot;#,##0.0"/>
    <numFmt numFmtId="188" formatCode="&quot;$&quot;#,##0.00"/>
    <numFmt numFmtId="189" formatCode="&quot;$&quot;#,##0"/>
    <numFmt numFmtId="190" formatCode="&quot;$&quot;#,##0.0_);\(&quot;$&quot;#,##0.0\)"/>
    <numFmt numFmtId="191" formatCode="@*."/>
    <numFmt numFmtId="192" formatCode="0.0%;\(0.0%\)"/>
    <numFmt numFmtId="193" formatCode="_(* #,##0.0000_);_(* \(#,##0.0000\);_(* &quot;-&quot;??_);_(@_)"/>
    <numFmt numFmtId="194" formatCode="_(&quot;$&quot;* #,##0.0_);_(&quot;$&quot;* \(#,##0.0\);_(&quot;$&quot;* &quot;-&quot;?_);_(@_)"/>
    <numFmt numFmtId="195" formatCode="_(* #,##0.0_);_(* \(#,##0.0\);_(* &quot;-&quot;_);_(@_)"/>
    <numFmt numFmtId="196" formatCode="_(&quot;$&quot;* #,##0.0_);_(&quot;$&quot;* \(#,##0.0\);_(&quot;$&quot;* &quot;-&quot;_);_(@_)"/>
    <numFmt numFmtId="197" formatCode="_(&quot;$&quot;* #,##0.00_);_(&quot;$&quot;* \(#,##0.00\);_(&quot;$&quot;* &quot;-&quot;_);_(@_)"/>
    <numFmt numFmtId="198" formatCode="0.00%;\(0.00%\)"/>
    <numFmt numFmtId="199" formatCode="0.000%;\(0.000%\)"/>
    <numFmt numFmtId="200" formatCode="_(* #,##0.0_);_(* \(#,##0.0\);_(* &quot;-&quot;?_);_(@_)"/>
    <numFmt numFmtId="201" formatCode="[$-F400]h:mm:ss\ AM/PM"/>
    <numFmt numFmtId="202" formatCode="0.0%_);\(0.0%\);&quot;-&quot;_)"/>
    <numFmt numFmtId="203" formatCode="0.00%_);\(0.00%\);&quot;-&quot;_)"/>
    <numFmt numFmtId="204" formatCode="0.000%_);\(0.000%\);&quot;-&quot;_)"/>
    <numFmt numFmtId="205" formatCode="0.0"/>
    <numFmt numFmtId="206" formatCode="_(&quot;$&quot;* #,##0.0_);_(&quot;$&quot;* \(#,##0.0\);_(&quot;$&quot;* &quot;-&quot;??_);_(@_)"/>
    <numFmt numFmtId="207" formatCode="#,##0.000_);\(#,##0.000\)"/>
    <numFmt numFmtId="208" formatCode="[$$]#,##0.0_);\([$$]#,##0.0\);[$$]#,##0.0_);@_)"/>
    <numFmt numFmtId="209" formatCode="#,##0.0_);\(#,##0.0\)"/>
    <numFmt numFmtId="210" formatCode="#\ ?/?_)"/>
    <numFmt numFmtId="211" formatCode="mm/dd/yy"/>
    <numFmt numFmtId="212" formatCode="#,##0\ ;\(#,##0\);\–\ \ \ \ \ "/>
    <numFmt numFmtId="213" formatCode="[Blue]0.0%;[Blue]\-0.0%"/>
    <numFmt numFmtId="214" formatCode="0.000\:\1_);\(0.000\)\:\1_);0.000\:\1_);@_)"/>
    <numFmt numFmtId="215" formatCode="General_)"/>
    <numFmt numFmtId="216" formatCode="_(* #,##0.0\¢_m;[Red]_(* \-#,##0.0\¢_m;[Green]_(* 0.0\¢_m;_(@_)_%"/>
    <numFmt numFmtId="217" formatCode="_(* #,##0.00\¢_m;[Red]_(* \-#,##0.00\¢_m;[Green]_(* 0.00\¢_m;_(@_)_%"/>
    <numFmt numFmtId="218" formatCode="_(* #,##0.000\¢_m;[Red]_(* \-#,##0.000\¢_m;[Green]_(* 0.000\¢_m;_(@_)_%"/>
    <numFmt numFmtId="219" formatCode="_(_(\£* #,##0_)_%;[Red]_(\(\£* #,##0\)_%;[Green]_(_(\£* #,##0_)_%;_(@_)_%"/>
    <numFmt numFmtId="220" formatCode="_(_(\£* #,##0.0_)_%;[Red]_(\(\£* #,##0.0\)_%;[Green]_(_(\£* #,##0.0_)_%;_(@_)_%"/>
    <numFmt numFmtId="221" formatCode="_(_(\£* #,##0.00_)_%;[Red]_(\(\£* #,##0.00\)_%;[Green]_(_(\£* #,##0.00_)_%;_(@_)_%"/>
    <numFmt numFmtId="222" formatCode="0.0000000"/>
    <numFmt numFmtId="223" formatCode="[Blue]&quot;--&quot;* #,##0.00_)\x;[Blue]&quot;--&quot;* \(#,##0.00\)\x;[Blue]&quot;--&quot;* 0.00\x;"/>
    <numFmt numFmtId="224" formatCode="[Blue]#,##0.000_);[Blue]\(#,##0.000\);[Blue]0.000_);[Blue]@_)"/>
    <numFmt numFmtId="225" formatCode="&quot;$&quot;#,##0.0;\(&quot;$&quot;#,##0.0\);&quot;$&quot;#,##0.0"/>
    <numFmt numFmtId="226" formatCode="#,##0.0_);[Red]\(#,##0.0\)"/>
    <numFmt numFmtId="227" formatCode="&quot;$&quot;&quot; &quot;#,##0_);\(&quot;$&quot;&quot; &quot;#,##0\);\-_)"/>
    <numFmt numFmtId="228" formatCode="0%_);\(0%\);\-_)"/>
    <numFmt numFmtId="229" formatCode="#,##0_);\(#,##0\);\-_)"/>
    <numFmt numFmtId="230" formatCode="&quot;$&quot;&quot; &quot;#,##0.0_);\(&quot;$&quot;&quot; &quot;#,##0.0\);\-_)"/>
    <numFmt numFmtId="231" formatCode="0.0%_);\(0.0%\);\-_)"/>
    <numFmt numFmtId="232" formatCode="#,##0.0_);\(#,##0.0\);\-_)"/>
    <numFmt numFmtId="233" formatCode="&quot;$&quot;&quot; &quot;#,##0.00_);\(&quot;$&quot;&quot; &quot;#,##0.00\);\-_)"/>
    <numFmt numFmtId="234" formatCode="0.00%_);\(0.00%\);\-_)"/>
    <numFmt numFmtId="235" formatCode="#,##0.00_);\(#,##0.00\);\-_)"/>
    <numFmt numFmtId="236" formatCode="&quot;$&quot;&quot; &quot;#,##0.000_);\(&quot;$&quot;&quot; &quot;#,##0.000\);\-_)"/>
    <numFmt numFmtId="237" formatCode="0.000%_);\(0.000%\);\-_)"/>
    <numFmt numFmtId="238" formatCode="#,##0.000_);\(#,##0.000\);\-_)"/>
    <numFmt numFmtId="239" formatCode=";;;"/>
    <numFmt numFmtId="240" formatCode="[Blue]#,##0\ \ \ ;[Blue]\(#,##0\)\ \ "/>
    <numFmt numFmtId="241" formatCode="#,##0\ ;\(#,##0\);\-\ \ \ \ \ "/>
    <numFmt numFmtId="242" formatCode="\£#,##0_);\(\£#,##0\)"/>
    <numFmt numFmtId="243" formatCode="_(_(\•_ #0_)_%;[Red]_(_(\•_ \-#0\)_%;[Green]_(_(\•_ #0_)_%;_(_(\•_ @_)_%"/>
    <numFmt numFmtId="244" formatCode="_(_(_•_ \•_ #0_)_%;[Red]_(_(_•_ \•_ \-#0\)_%;[Green]_(_(_•_ \•_ #0_)_%;_(_(_•_ \•_ @_)_%"/>
    <numFmt numFmtId="245" formatCode="_(_(_•_ _•_ \•_ #0_)_%;[Red]_(_(_•_ _•_ \•_ \-#0\)_%;[Green]_(_(_•_ _•_ \•_ #0_)_%;_(_(_•_ \•_ @_)_%"/>
    <numFmt numFmtId="246" formatCode="#,##0;\-#,##0;&quot;-&quot;"/>
    <numFmt numFmtId="247" formatCode="[Blue]#,##0.00_);[Blue]\(#,##0.00\);[Blue]0.00_);[Blue]@_)"/>
    <numFmt numFmtId="248" formatCode="#,##0_%_);\(#,##0\)_%;#,##0_%_);@_%_)"/>
    <numFmt numFmtId="249" formatCode="0.000_)"/>
    <numFmt numFmtId="250" formatCode="&quot;$&quot;#,##0_);[Red]\(&quot;$&quot;#,##0\);&quot;$&quot;0_);@_)"/>
    <numFmt numFmtId="251" formatCode="_(* #,##0.00_);_(* \(#,##0.00\);_(* &quot;-&quot;_);_(@_)"/>
    <numFmt numFmtId="252" formatCode="#,##0_%_);\(#,##0\)_%;**;@_%_)"/>
    <numFmt numFmtId="253" formatCode="#,##0.00_%_);\(#,##0.00\)_%;**;@_%_)"/>
    <numFmt numFmtId="254" formatCode="#,##0.000_%_);\(#,##0.000\)_%;**;@_%_)"/>
    <numFmt numFmtId="255" formatCode="#,##0.0_%_);\(#,##0.0\)_%;**;@_%_)"/>
    <numFmt numFmtId="256" formatCode="#,##0.0_%_);\(#,##0.0\)_%;#,##0.0_%_);@_%_)"/>
    <numFmt numFmtId="257" formatCode="\£#,##0.0;\(\£#,##0.0\);\£#,##0.0"/>
    <numFmt numFmtId="258" formatCode="&quot;$&quot;&quot; &quot;#,##0.0_);\(&quot;$&quot;&quot; &quot;#,##0.0\)"/>
    <numFmt numFmtId="259" formatCode="&quot;$&quot;&quot; &quot;#,##0.00_);\(&quot;$&quot;&quot; &quot;#,##0.00\)"/>
    <numFmt numFmtId="260" formatCode="&quot;$&quot;&quot; &quot;#,##0.000_);\(&quot;$&quot;&quot; &quot;#,##0.000\)"/>
    <numFmt numFmtId="261" formatCode="&quot;$&quot;#,##0.00_%_);\(&quot;$&quot;#,##0.00\)_%;**;@_%_)"/>
    <numFmt numFmtId="262" formatCode="&quot;$&quot;#,##0.000_%_);\(&quot;$&quot;#,##0.000\)_%;**;@_%_)"/>
    <numFmt numFmtId="263" formatCode="&quot;$&quot;#,##0.0_%_);\(&quot;$&quot;#,##0.0\)_%;**;@_%_)"/>
    <numFmt numFmtId="264" formatCode="_(&quot;$&quot;\ #,##0.0_);_(&quot;$&quot;\ \(#,##0.0\);_(* &quot;-&quot;??_);_(@_)"/>
    <numFmt numFmtId="265" formatCode="0.0\%_);\(0.0\%\);0.0\%_);@_%_)"/>
    <numFmt numFmtId="266" formatCode="&quot;$&quot;#,##0.0_%_);\(&quot;$&quot;#,##0.0\)_%;&quot;$&quot;#,##0.0_%_);@_%_)"/>
    <numFmt numFmtId="267" formatCode="mmmm\ d\,\ yyyy_)"/>
    <numFmt numFmtId="268" formatCode="_(* dd\-mmm\-yy_)_%"/>
    <numFmt numFmtId="269" formatCode="d\-mmm\-yy_)"/>
    <numFmt numFmtId="270" formatCode="_(* dd\ mmmm\ yyyy_)_%"/>
    <numFmt numFmtId="271" formatCode="_(* mmmm\ dd\,\ yyyy_)_%"/>
    <numFmt numFmtId="272" formatCode="m/d/yy_)"/>
    <numFmt numFmtId="273" formatCode="m/yy_)"/>
    <numFmt numFmtId="274" formatCode="mmm\-yy_)"/>
    <numFmt numFmtId="275" formatCode="_(* dd\.mm\.yyyy_)_%"/>
    <numFmt numFmtId="276" formatCode="_(* mm/dd/yyyy_)_%"/>
    <numFmt numFmtId="277" formatCode="m/d/yy_%_);;**"/>
    <numFmt numFmtId="278" formatCode="#,##0.0\ \ \ ;\(#,##0.0\)\ \ "/>
    <numFmt numFmtId="279" formatCode="m/d/yy_%_)"/>
    <numFmt numFmtId="280" formatCode="0.0\ &quot;Years&quot;"/>
    <numFmt numFmtId="281" formatCode="&quot;$&quot;#,##0.0\ \ \ ;\(&quot;$&quot;#,##0.0\)\ \ "/>
    <numFmt numFmtId="282" formatCode="0.0\x_)_);&quot;NM&quot;_x_)_);0.0\x_)_);@_%_)"/>
    <numFmt numFmtId="283" formatCode="0.0%_);\(0.0%\);0.0%_);@_)"/>
    <numFmt numFmtId="284" formatCode="#,##0.0;\-#,##0.0;&quot;         -&quot;"/>
    <numFmt numFmtId="285" formatCode="[Blue]_$#,##0.00_);[Blue]_$\(#,##0.00\);[Blue]_$0.00_);[Blue]_$@_)"/>
    <numFmt numFmtId="286" formatCode="_([$€-2]* #,##0.00_);_([$€-2]* \(#,##0.00\);_([$€-2]* &quot;-&quot;??_)"/>
    <numFmt numFmtId="287" formatCode="#,##0.0;[Red]\-#,##0.0"/>
    <numFmt numFmtId="288" formatCode="#\ 0/8_)"/>
    <numFmt numFmtId="289" formatCode="General_)_%"/>
    <numFmt numFmtId="290" formatCode="#,##0.0\%_);\(#,##0.0\%\);#,##0.0\%_);@_)"/>
    <numFmt numFmtId="291" formatCode="_(_(#0_)_%;[Red]_(_(\-#0\)_%;[Green]_(_(#0_)_%;_(_(@_)_%"/>
    <numFmt numFmtId="292" formatCode="_(_(_•_ #0_)_%;[Red]_(_(_•_ \-#0\)_%;[Green]_(_(_•_ #0_)_%;_(_(_•_ @_)_%"/>
    <numFmt numFmtId="293" formatCode="_(_(_•_ _•_ #0_)_%;[Red]_(_(_•_ _•_ \-#0\)_%;[Green]_(_(_•_ _•_ #0_)_%;_(_(_•_ _•_ @_)_%"/>
    <numFmt numFmtId="294" formatCode="_(_(_•_ _•_ _•_ #0_)_%;[Red]_(_(_•_ _•_ _•_ \-#0\)_%;[Green]_(_(_•_ _•_ _•_ #0_)_%;_(_(_•_ _•_ _•_ @_)_%"/>
    <numFmt numFmtId="295" formatCode="0.00_)"/>
    <numFmt numFmtId="296" formatCode="0.0\ \x\ ;&quot;NM   &quot;;0.0\ \x"/>
    <numFmt numFmtId="297" formatCode="&quot;x&quot;;&quot;x&quot;;&quot;x&quot;;&quot;x&quot;"/>
    <numFmt numFmtId="298" formatCode="\P\ #,##0.0_);\(\P\ #,##0.0\)"/>
    <numFmt numFmtId="299" formatCode="#,##0.00000000000"/>
    <numFmt numFmtId="300" formatCode="_ &quot;$&quot;\ * #,##0_ ;_ &quot;$&quot;\ * \-#,##0_ ;_ &quot;$&quot;\ * &quot;-&quot;_ ;_ @_ "/>
    <numFmt numFmtId="301" formatCode="_ &quot;$&quot;\ * #,##0.00_ ;_ &quot;$&quot;\ * \-#,##0.00_ ;_ &quot;$&quot;\ * &quot;-&quot;??_ ;_ @_ "/>
    <numFmt numFmtId="302" formatCode="0.0&quot;%   &quot;"/>
    <numFmt numFmtId="303" formatCode="[$$]#,##0.00_);\([$$]#,##0.00\);[$$]#,##0.00_);@_)"/>
    <numFmt numFmtId="304" formatCode="#,##0.0_x_)_);&quot;NM&quot;_x_)_);#,##0.0_x_)_);@_x_)_)"/>
    <numFmt numFmtId="305" formatCode="#,##0.0\x_);\(#,##0.0\x\);#,##0.0\x_);@_)"/>
    <numFmt numFmtId="306" formatCode="#,##0_);\(#,##0\);#,##0_);@_)"/>
    <numFmt numFmtId="307" formatCode="#,##0.0&quot;x&quot;_);\(#,##0.0&quot;x&quot;\)"/>
    <numFmt numFmtId="308" formatCode="&quot;$&quot;#,##0_%_);\(&quot;$&quot;#,##0\)_%;&quot;$&quot;#,##0_%_);@_%_)"/>
    <numFmt numFmtId="309" formatCode="#,##0_);\(#,##0\);&quot;—  &quot;"/>
    <numFmt numFmtId="310" formatCode="0.0%_);\(0.0%\)"/>
    <numFmt numFmtId="311" formatCode="_(* #,##0_)_%;[Red]_(* \(#,##0\)_%;[Green]_(* 0_)_%;_(@_)_%"/>
    <numFmt numFmtId="312" formatCode="0.00%_);\(0.00%\)"/>
    <numFmt numFmtId="313" formatCode="0.000%_);\(0.000%\)"/>
    <numFmt numFmtId="314" formatCode="0_%_);\(0\)_%;0_%_);@_%_)"/>
    <numFmt numFmtId="315" formatCode="#,##0.0\x_)_);\(#,##0.0\x\)_);#,##0.0\x_)_);@_%_)"/>
    <numFmt numFmtId="316" formatCode="&quot;$&quot;#,##0.00000000000000000000000000000000000_);[Red]\(&quot;$&quot;#,##0.00000000000000000000000000000000000\)"/>
    <numFmt numFmtId="317" formatCode="0.0%_);\(0.0%\);**;@_%_)"/>
    <numFmt numFmtId="318" formatCode="_-[$£-809]* #,##0.00_-;\-[$£-809]* #,##0.00_-;_-[$£-809]* &quot;-&quot;??_-;_-@_-"/>
    <numFmt numFmtId="319" formatCode="0.0\ \x"/>
    <numFmt numFmtId="320" formatCode="#,##0.000%;\-#,##0.000%;\-\%"/>
    <numFmt numFmtId="321" formatCode="#,##0.000;\-#,##0.000;\-\ "/>
    <numFmt numFmtId="322" formatCode="#,###,_);\(#,###,\);&quot;–  &quot;\ \ \ \ \ "/>
    <numFmt numFmtId="323" formatCode="#,##0.000_);[Red]\(#,##0.000\);0.000_);@_)"/>
    <numFmt numFmtId="324" formatCode="s\t\a\nd\a\rd"/>
    <numFmt numFmtId="325" formatCode="&quot;$&quot;#,##0.00_%_);\(&quot;$&quot;#,##0.00\)_%;&quot;$&quot;#,##0.00_%_);@_%_)"/>
    <numFmt numFmtId="326" formatCode="[White]General;[White]General;[White]General;[White]General"/>
    <numFmt numFmtId="327" formatCode="#,##0_);\(#,##0\);\-_);&quot;    &quot;@_)"/>
    <numFmt numFmtId="328" formatCode="#,##0_);\(#,##0\);\-_);&quot;        &quot;@_)"/>
    <numFmt numFmtId="329" formatCode="#,##0_);\(#,##0\);\-_);\•&quot; &quot;@_)"/>
    <numFmt numFmtId="330" formatCode="#,##0_);\(#,##0\);\-_);\—&quot; &quot;@"/>
    <numFmt numFmtId="331" formatCode="#,##0&quot;x&quot;_);\(#,##0&quot;x&quot;\)"/>
    <numFmt numFmtId="332" formatCode="0.0\ &quot;x&quot;"/>
    <numFmt numFmtId="333" formatCode="#,##0.00&quot;x&quot;_);\(#,##0.00&quot;x&quot;\)"/>
    <numFmt numFmtId="334" formatCode="0.00\ &quot;x&quot;"/>
    <numFmt numFmtId="335" formatCode="#,##0.000&quot;x&quot;_);\(#,##0.000&quot;x&quot;\)"/>
    <numFmt numFmtId="336" formatCode="[Blue]&quot;$&quot;#,##0.000_);[Blue]\(&quot;$&quot;#,##0.000\);[Blue]&quot;$&quot;0.000_);[Blue]@_)"/>
    <numFmt numFmtId="337" formatCode="&quot;Wire: &quot;0"/>
    <numFmt numFmtId="338" formatCode="_-&quot;£&quot;* #,##0.0_-;\-&quot;£&quot;* #,##0.0_-;_-&quot;£&quot;* &quot;-&quot;??_-;_-@_-"/>
    <numFmt numFmtId="339" formatCode="\¥#,##0_);\(\¥#,##0\)"/>
  </numFmts>
  <fonts count="195">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sz val="11"/>
      <name val="Times New Roman"/>
      <family val="1"/>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1"/>
      <name val="Calibri"/>
      <family val="2"/>
      <scheme val="minor"/>
    </font>
    <font>
      <sz val="10"/>
      <name val="Arial"/>
      <family val="2"/>
    </font>
    <font>
      <sz val="11"/>
      <color theme="6" tint="-0.249977111117893"/>
      <name val="Calibri"/>
      <family val="2"/>
      <scheme val="minor"/>
    </font>
    <font>
      <b/>
      <sz val="11"/>
      <color theme="0"/>
      <name val="Calibri"/>
      <family val="2"/>
      <scheme val="minor"/>
    </font>
    <font>
      <b/>
      <u/>
      <sz val="11"/>
      <color theme="1"/>
      <name val="Calibri"/>
      <family val="2"/>
      <scheme val="minor"/>
    </font>
    <font>
      <b/>
      <sz val="11"/>
      <name val="Calibri"/>
      <family val="2"/>
      <scheme val="minor"/>
    </font>
    <font>
      <sz val="10"/>
      <name val="Calibri"/>
      <family val="2"/>
      <scheme val="minor"/>
    </font>
    <font>
      <sz val="10"/>
      <color indexed="12"/>
      <name val="Calibri"/>
      <family val="2"/>
      <scheme val="minor"/>
    </font>
    <font>
      <sz val="11"/>
      <color rgb="FFFF0000"/>
      <name val="Calibri"/>
      <family val="2"/>
      <scheme val="minor"/>
    </font>
    <font>
      <sz val="11"/>
      <color indexed="12"/>
      <name val="Calibri"/>
      <family val="2"/>
      <scheme val="minor"/>
    </font>
    <font>
      <sz val="11"/>
      <color theme="1"/>
      <name val="Arial"/>
      <family val="2"/>
    </font>
    <font>
      <b/>
      <sz val="20"/>
      <color theme="1"/>
      <name val="Arial"/>
      <family val="2"/>
    </font>
    <font>
      <b/>
      <sz val="14"/>
      <color theme="1"/>
      <name val="Arial"/>
      <family val="2"/>
    </font>
    <font>
      <i/>
      <sz val="11"/>
      <name val="Arial"/>
      <family val="2"/>
    </font>
    <font>
      <b/>
      <sz val="11"/>
      <name val="Arial"/>
      <family val="2"/>
    </font>
    <font>
      <sz val="11"/>
      <color indexed="8"/>
      <name val="Arial"/>
      <family val="2"/>
    </font>
    <font>
      <b/>
      <u/>
      <sz val="11"/>
      <name val="Arial"/>
      <family val="2"/>
    </font>
    <font>
      <sz val="11"/>
      <name val="Arial"/>
      <family val="2"/>
    </font>
    <font>
      <sz val="11"/>
      <color theme="0"/>
      <name val="Arial"/>
      <family val="2"/>
    </font>
    <font>
      <b/>
      <sz val="11"/>
      <color indexed="8"/>
      <name val="Arial"/>
      <family val="2"/>
    </font>
    <font>
      <b/>
      <sz val="11"/>
      <color indexed="9"/>
      <name val="Arial"/>
      <family val="2"/>
    </font>
    <font>
      <sz val="11"/>
      <color rgb="FF002060"/>
      <name val="Arial"/>
      <family val="2"/>
    </font>
    <font>
      <b/>
      <sz val="11"/>
      <color theme="0"/>
      <name val="Arial"/>
      <family val="2"/>
    </font>
    <font>
      <u/>
      <sz val="11"/>
      <color indexed="8"/>
      <name val="Arial"/>
      <family val="2"/>
    </font>
    <font>
      <sz val="12"/>
      <color indexed="8"/>
      <name val="Arial"/>
      <family val="2"/>
    </font>
    <font>
      <i/>
      <sz val="11"/>
      <color indexed="8"/>
      <name val="Arial"/>
      <family val="2"/>
    </font>
    <font>
      <sz val="11"/>
      <color indexed="10"/>
      <name val="Arial"/>
      <family val="2"/>
    </font>
    <font>
      <sz val="12"/>
      <color indexed="10"/>
      <name val="Arial"/>
      <family val="2"/>
    </font>
    <font>
      <i/>
      <sz val="11"/>
      <color theme="0"/>
      <name val="Arial"/>
      <family val="2"/>
    </font>
    <font>
      <u/>
      <sz val="11"/>
      <name val="Arial"/>
      <family val="2"/>
    </font>
    <font>
      <i/>
      <sz val="11"/>
      <color indexed="9"/>
      <name val="Arial"/>
      <family val="2"/>
    </font>
    <font>
      <sz val="11"/>
      <color indexed="9"/>
      <name val="Arial"/>
      <family val="2"/>
    </font>
    <font>
      <sz val="11"/>
      <color theme="3"/>
      <name val="Arial"/>
      <family val="2"/>
    </font>
    <font>
      <sz val="11"/>
      <color theme="4"/>
      <name val="Arial"/>
      <family val="2"/>
    </font>
    <font>
      <sz val="11"/>
      <color rgb="FF0070C0"/>
      <name val="Arial"/>
      <family val="2"/>
    </font>
    <font>
      <i/>
      <sz val="11"/>
      <color rgb="FF0070C0"/>
      <name val="Arial"/>
      <family val="2"/>
    </font>
    <font>
      <sz val="10"/>
      <color theme="1"/>
      <name val="Arial"/>
      <family val="2"/>
    </font>
    <font>
      <b/>
      <sz val="11"/>
      <color theme="1"/>
      <name val="Arial"/>
      <family val="2"/>
    </font>
    <font>
      <sz val="11"/>
      <color rgb="FF000000"/>
      <name val="Arial"/>
      <family val="2"/>
    </font>
    <font>
      <u/>
      <sz val="11"/>
      <color theme="1"/>
      <name val="Arial"/>
      <family val="2"/>
    </font>
    <font>
      <b/>
      <sz val="10"/>
      <name val="Arial"/>
      <family val="2"/>
    </font>
    <font>
      <sz val="14"/>
      <color indexed="8"/>
      <name val="Arial"/>
      <family val="2"/>
    </font>
    <font>
      <u/>
      <sz val="14"/>
      <color indexed="8"/>
      <name val="Arial"/>
      <family val="2"/>
    </font>
    <font>
      <sz val="14"/>
      <name val="Arial"/>
      <family val="2"/>
    </font>
    <font>
      <sz val="10"/>
      <color rgb="FFFF0000"/>
      <name val="Arial"/>
      <family val="2"/>
    </font>
    <font>
      <sz val="30"/>
      <name val="Arial"/>
      <family val="2"/>
    </font>
    <font>
      <sz val="9"/>
      <color indexed="10"/>
      <name val="Arial"/>
      <family val="2"/>
    </font>
    <font>
      <sz val="14"/>
      <color theme="1"/>
      <name val="Arial"/>
      <family val="2"/>
    </font>
    <font>
      <b/>
      <u/>
      <sz val="20"/>
      <color theme="1"/>
      <name val="Arial"/>
      <family val="2"/>
    </font>
    <font>
      <u/>
      <sz val="11"/>
      <color rgb="FF000000"/>
      <name val="Arial"/>
      <family val="2"/>
    </font>
    <font>
      <b/>
      <sz val="11"/>
      <color rgb="FFFFFFFF"/>
      <name val="Arial"/>
      <family val="2"/>
    </font>
    <font>
      <sz val="11"/>
      <color rgb="FF0070C0"/>
      <name val="Calibri"/>
      <family val="2"/>
      <scheme val="minor"/>
    </font>
    <font>
      <sz val="8"/>
      <name val="Calibri"/>
      <family val="2"/>
      <scheme val="minor"/>
    </font>
    <font>
      <sz val="11"/>
      <color indexed="8"/>
      <name val="Calibri"/>
      <family val="2"/>
    </font>
    <font>
      <sz val="11"/>
      <name val="Calibri"/>
      <family val="2"/>
    </font>
    <font>
      <sz val="10"/>
      <name val="Arial"/>
      <family val="2"/>
    </font>
    <font>
      <sz val="10"/>
      <color indexed="8"/>
      <name val="Arial"/>
      <family val="2"/>
    </font>
    <font>
      <sz val="10"/>
      <color indexed="10"/>
      <name val="Arial"/>
      <family val="2"/>
    </font>
    <font>
      <sz val="10"/>
      <name val="Tahoma"/>
      <family val="2"/>
    </font>
    <font>
      <sz val="10"/>
      <color indexed="8"/>
      <name val="MS Sans Serif"/>
      <family val="2"/>
    </font>
    <font>
      <sz val="8"/>
      <name val="Arial"/>
      <family val="2"/>
    </font>
    <font>
      <b/>
      <sz val="9"/>
      <name val="Arial"/>
      <family val="2"/>
    </font>
    <font>
      <sz val="8"/>
      <name val="Times New Roman"/>
      <family val="1"/>
    </font>
    <font>
      <sz val="10"/>
      <name val="Times New Roman"/>
      <family val="1"/>
    </font>
    <font>
      <sz val="8"/>
      <name val="Palatino"/>
      <family val="1"/>
    </font>
    <font>
      <sz val="10"/>
      <name val="C Helvetica Condensed"/>
    </font>
    <font>
      <sz val="12"/>
      <name val="Times New Roman"/>
      <family val="1"/>
    </font>
    <font>
      <sz val="8"/>
      <name val="Times"/>
      <family val="1"/>
    </font>
    <font>
      <sz val="12"/>
      <name val="Arial"/>
      <family val="2"/>
    </font>
    <font>
      <sz val="7"/>
      <name val="Ariel"/>
    </font>
    <font>
      <sz val="9"/>
      <name val="Arial"/>
      <family val="2"/>
    </font>
    <font>
      <strike/>
      <sz val="8"/>
      <name val="Arial"/>
      <family val="2"/>
    </font>
    <font>
      <sz val="8"/>
      <color indexed="8"/>
      <name val="Arial"/>
      <family val="2"/>
    </font>
    <font>
      <sz val="10"/>
      <color indexed="8"/>
      <name val="Times New Roman"/>
      <family val="1"/>
    </font>
    <font>
      <sz val="8"/>
      <color indexed="12"/>
      <name val="Tms Rmn"/>
    </font>
    <font>
      <sz val="9"/>
      <color indexed="18"/>
      <name val="CharterITC BT"/>
      <family val="1"/>
    </font>
    <font>
      <sz val="8"/>
      <name val="Helv"/>
    </font>
    <font>
      <b/>
      <sz val="12"/>
      <name val="Times New Roman"/>
      <family val="1"/>
    </font>
    <font>
      <b/>
      <sz val="8"/>
      <color indexed="8"/>
      <name val="Arial"/>
      <family val="2"/>
    </font>
    <font>
      <b/>
      <sz val="10"/>
      <name val="MS Sans Serif"/>
      <family val="2"/>
    </font>
    <font>
      <u val="singleAccounting"/>
      <sz val="10"/>
      <name val="Arial"/>
      <family val="2"/>
    </font>
    <font>
      <sz val="12"/>
      <name val="Tms Rmn"/>
    </font>
    <font>
      <b/>
      <sz val="12"/>
      <name val="Arial"/>
      <family val="2"/>
    </font>
    <font>
      <b/>
      <sz val="11"/>
      <name val="Times New Roman"/>
      <family val="1"/>
    </font>
    <font>
      <b/>
      <sz val="8"/>
      <name val="Book Antiqua"/>
      <family val="1"/>
    </font>
    <font>
      <i/>
      <sz val="10"/>
      <name val="Arial"/>
      <family val="2"/>
    </font>
    <font>
      <sz val="9"/>
      <name val="Times New Roman"/>
      <family val="1"/>
    </font>
    <font>
      <sz val="11"/>
      <name val="Tms Rmn"/>
      <family val="1"/>
    </font>
    <font>
      <sz val="10"/>
      <name val="BERNHARD"/>
    </font>
    <font>
      <sz val="10"/>
      <name val="Helv"/>
    </font>
    <font>
      <sz val="24"/>
      <name val="Arial"/>
      <family val="2"/>
    </font>
    <font>
      <sz val="10"/>
      <name val="MS Serif"/>
      <family val="1"/>
    </font>
    <font>
      <sz val="14"/>
      <name val="Palatino"/>
      <family val="1"/>
    </font>
    <font>
      <sz val="16"/>
      <name val="Palatino"/>
      <family val="1"/>
    </font>
    <font>
      <sz val="32"/>
      <name val="Helvetica-Black"/>
    </font>
    <font>
      <sz val="10"/>
      <name val="MS Sans Serif"/>
      <family val="2"/>
    </font>
    <font>
      <sz val="8"/>
      <color indexed="16"/>
      <name val="Palatino"/>
      <family val="1"/>
    </font>
    <font>
      <sz val="10"/>
      <name val="Helvetica"/>
      <family val="2"/>
    </font>
    <font>
      <sz val="8"/>
      <name val="Univers 47 CondensedLight"/>
      <family val="2"/>
    </font>
    <font>
      <b/>
      <sz val="7.5"/>
      <color indexed="8"/>
      <name val="Arial"/>
      <family val="2"/>
    </font>
    <font>
      <sz val="10"/>
      <color indexed="12"/>
      <name val="Times New Roman"/>
      <family val="1"/>
    </font>
    <font>
      <sz val="1"/>
      <color indexed="8"/>
      <name val="Courier"/>
      <family val="3"/>
    </font>
    <font>
      <u val="doubleAccounting"/>
      <sz val="10"/>
      <name val="Arial"/>
      <family val="2"/>
    </font>
    <font>
      <sz val="9"/>
      <color indexed="12"/>
      <name val="Times New Roman"/>
      <family val="1"/>
    </font>
    <font>
      <sz val="10"/>
      <name val="CG Times (PCL6)"/>
    </font>
    <font>
      <b/>
      <sz val="1"/>
      <color indexed="8"/>
      <name val="Courier"/>
      <family val="3"/>
    </font>
    <font>
      <sz val="10"/>
      <color indexed="16"/>
      <name val="MS Serif"/>
      <family val="1"/>
    </font>
    <font>
      <sz val="12"/>
      <color indexed="8"/>
      <name val="TimesNewRomanPS"/>
    </font>
    <font>
      <sz val="6"/>
      <color indexed="23"/>
      <name val="Helvetica-Black"/>
    </font>
    <font>
      <sz val="9.5"/>
      <color indexed="23"/>
      <name val="Helvetica-Black"/>
    </font>
    <font>
      <sz val="7"/>
      <name val="Palatino"/>
      <family val="1"/>
    </font>
    <font>
      <sz val="9"/>
      <name val="CharterITC BT"/>
      <family val="1"/>
    </font>
    <font>
      <sz val="6"/>
      <color indexed="16"/>
      <name val="Palatino"/>
      <family val="1"/>
    </font>
    <font>
      <sz val="6"/>
      <name val="Palatino"/>
      <family val="1"/>
    </font>
    <font>
      <b/>
      <sz val="8"/>
      <name val="Palatino"/>
      <family val="1"/>
    </font>
    <font>
      <b/>
      <i/>
      <sz val="8"/>
      <name val="Helv"/>
    </font>
    <font>
      <sz val="10"/>
      <name val="Helvetica-Black"/>
    </font>
    <font>
      <sz val="28"/>
      <name val="Helvetica-Black"/>
    </font>
    <font>
      <sz val="10"/>
      <name val="Palatino"/>
      <family val="1"/>
    </font>
    <font>
      <sz val="18"/>
      <name val="Palatino"/>
      <family val="1"/>
    </font>
    <font>
      <i/>
      <sz val="14"/>
      <name val="Palatino"/>
      <family val="1"/>
    </font>
    <font>
      <b/>
      <sz val="8"/>
      <name val="MS Sans Serif"/>
      <family val="2"/>
    </font>
    <font>
      <sz val="9"/>
      <name val="Helv"/>
    </font>
    <font>
      <sz val="10"/>
      <color indexed="12"/>
      <name val="Palatino"/>
      <family val="1"/>
    </font>
    <font>
      <sz val="10"/>
      <name val="CG Times (WN)"/>
      <family val="1"/>
    </font>
    <font>
      <b/>
      <sz val="22"/>
      <color indexed="16"/>
      <name val="Arial"/>
      <family val="2"/>
    </font>
    <font>
      <i/>
      <sz val="16"/>
      <name val="Times New Roman"/>
      <family val="1"/>
    </font>
    <font>
      <b/>
      <sz val="12"/>
      <color indexed="16"/>
      <name val="Times New Roman"/>
      <family val="1"/>
    </font>
    <font>
      <sz val="8"/>
      <color indexed="8"/>
      <name val="Palatino"/>
      <family val="1"/>
    </font>
    <font>
      <b/>
      <sz val="10"/>
      <color indexed="17"/>
      <name val="Times New Roman"/>
      <family val="1"/>
    </font>
    <font>
      <sz val="7"/>
      <name val="Small Fonts"/>
      <family val="2"/>
    </font>
    <font>
      <b/>
      <i/>
      <sz val="16"/>
      <name val="Helv"/>
    </font>
    <font>
      <sz val="8"/>
      <name val="Helvetica"/>
      <family val="2"/>
    </font>
    <font>
      <sz val="8"/>
      <color indexed="12"/>
      <name val="Times New Roman"/>
      <family val="1"/>
    </font>
    <font>
      <b/>
      <sz val="10"/>
      <color indexed="72"/>
      <name val="Arial"/>
      <family val="2"/>
    </font>
    <font>
      <b/>
      <i/>
      <sz val="10"/>
      <color indexed="8"/>
      <name val="Arial"/>
      <family val="2"/>
    </font>
    <font>
      <b/>
      <sz val="10"/>
      <color indexed="8"/>
      <name val="Arial"/>
      <family val="2"/>
    </font>
    <font>
      <b/>
      <i/>
      <sz val="22"/>
      <color indexed="8"/>
      <name val="Times New Roman"/>
      <family val="1"/>
    </font>
    <font>
      <b/>
      <sz val="26"/>
      <name val="Times New Roman"/>
      <family val="1"/>
    </font>
    <font>
      <b/>
      <sz val="18"/>
      <name val="Times New Roman"/>
      <family val="1"/>
    </font>
    <font>
      <sz val="10"/>
      <color indexed="16"/>
      <name val="Helvetica-Black"/>
      <family val="2"/>
    </font>
    <font>
      <sz val="18"/>
      <name val="Helvetica-Black"/>
      <family val="2"/>
    </font>
    <font>
      <b/>
      <u/>
      <sz val="10"/>
      <name val="Helv"/>
    </font>
    <font>
      <sz val="10"/>
      <name val="Tms Rmn"/>
    </font>
    <font>
      <b/>
      <sz val="8"/>
      <name val="Arial"/>
      <family val="2"/>
    </font>
    <font>
      <b/>
      <sz val="14"/>
      <name val="Times New Roman"/>
      <family val="1"/>
    </font>
    <font>
      <sz val="8"/>
      <name val="Wingdings"/>
      <charset val="2"/>
    </font>
    <font>
      <b/>
      <sz val="16"/>
      <name val="Times New Roman"/>
      <family val="1"/>
    </font>
    <font>
      <u/>
      <sz val="11"/>
      <name val="Times New Roman"/>
      <family val="1"/>
    </font>
    <font>
      <b/>
      <sz val="16"/>
      <color indexed="16"/>
      <name val="Arial"/>
      <family val="2"/>
    </font>
    <font>
      <sz val="8"/>
      <name val="MS Sans Serif"/>
      <family val="2"/>
    </font>
    <font>
      <sz val="12"/>
      <name val="Arial MT"/>
    </font>
    <font>
      <b/>
      <sz val="8"/>
      <color indexed="8"/>
      <name val="Helv"/>
    </font>
    <font>
      <sz val="7.5"/>
      <name val="Times New Roman"/>
      <family val="1"/>
    </font>
    <font>
      <sz val="8"/>
      <name val="CharterITC BT"/>
      <family val="1"/>
    </font>
    <font>
      <b/>
      <sz val="9"/>
      <name val="Palatino"/>
      <family val="1"/>
    </font>
    <font>
      <sz val="9"/>
      <color indexed="21"/>
      <name val="Helvetica-Black"/>
      <family val="2"/>
    </font>
    <font>
      <b/>
      <sz val="10"/>
      <name val="Palatino"/>
      <family val="1"/>
    </font>
    <font>
      <b/>
      <sz val="10"/>
      <color indexed="16"/>
      <name val="Arial"/>
      <family val="2"/>
    </font>
    <font>
      <b/>
      <sz val="10"/>
      <name val="Times New Roman"/>
      <family val="1"/>
    </font>
    <font>
      <sz val="8"/>
      <name val="Helvetica-Narrow"/>
      <family val="2"/>
    </font>
    <font>
      <b/>
      <sz val="7"/>
      <name val="Helvetica-Narrow"/>
      <family val="2"/>
    </font>
    <font>
      <b/>
      <u val="singleAccounting"/>
      <sz val="14"/>
      <name val="Times New Roman"/>
      <family val="1"/>
    </font>
    <font>
      <i/>
      <sz val="14"/>
      <name val="Times New Roman"/>
      <family val="1"/>
    </font>
    <font>
      <sz val="14"/>
      <name val="Times New Roman"/>
      <family val="1"/>
    </font>
    <font>
      <sz val="12"/>
      <color indexed="8"/>
      <name val="Palatino"/>
      <family val="1"/>
    </font>
    <font>
      <sz val="12"/>
      <name val="Palatino"/>
      <family val="1"/>
    </font>
    <font>
      <sz val="11"/>
      <name val="Helvetica-Black"/>
    </font>
    <font>
      <sz val="11"/>
      <color indexed="8"/>
      <name val="Helvetica-Black"/>
    </font>
    <font>
      <sz val="11"/>
      <name val="Helvetica-Black"/>
      <family val="2"/>
    </font>
    <font>
      <i/>
      <sz val="10"/>
      <name val="Times New Roman"/>
      <family val="1"/>
    </font>
    <font>
      <u val="double"/>
      <sz val="8"/>
      <color indexed="8"/>
      <name val="Arial"/>
      <family val="2"/>
    </font>
    <font>
      <sz val="8"/>
      <color indexed="16"/>
      <name val="Helv"/>
    </font>
    <font>
      <b/>
      <sz val="9"/>
      <color indexed="9"/>
      <name val="Arial"/>
      <family val="2"/>
    </font>
    <font>
      <sz val="8"/>
      <color indexed="9"/>
      <name val="Arial"/>
      <family val="2"/>
    </font>
    <font>
      <b/>
      <sz val="9"/>
      <color indexed="10"/>
      <name val="Wingdings"/>
      <charset val="2"/>
    </font>
    <font>
      <b/>
      <i/>
      <sz val="12"/>
      <name val="Times New Roman"/>
      <family val="1"/>
    </font>
    <font>
      <sz val="11"/>
      <name val="ＭＳ Ｐゴシック"/>
      <family val="3"/>
      <charset val="128"/>
    </font>
    <font>
      <u/>
      <sz val="11"/>
      <color rgb="FF0070C0"/>
      <name val="Calibri"/>
      <family val="2"/>
      <scheme val="minor"/>
    </font>
  </fonts>
  <fills count="31">
    <fill>
      <patternFill patternType="none"/>
    </fill>
    <fill>
      <patternFill patternType="gray125"/>
    </fill>
    <fill>
      <patternFill patternType="solid">
        <fgColor indexed="1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BED7A5"/>
        <bgColor indexed="64"/>
      </patternFill>
    </fill>
    <fill>
      <patternFill patternType="solid">
        <fgColor theme="0" tint="-0.14999847407452621"/>
        <bgColor indexed="64"/>
      </patternFill>
    </fill>
    <fill>
      <patternFill patternType="solid">
        <fgColor indexed="43"/>
        <bgColor indexed="64"/>
      </patternFill>
    </fill>
    <fill>
      <patternFill patternType="solid">
        <fgColor theme="9" tint="0.39997558519241921"/>
        <bgColor indexed="64"/>
      </patternFill>
    </fill>
    <fill>
      <patternFill patternType="solid">
        <fgColor theme="4"/>
        <bgColor indexed="64"/>
      </patternFill>
    </fill>
    <fill>
      <patternFill patternType="solid">
        <fgColor theme="9" tint="0.79998168889431442"/>
        <bgColor indexed="64"/>
      </patternFill>
    </fill>
    <fill>
      <patternFill patternType="solid">
        <fgColor theme="6"/>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lightGray">
        <fgColor indexed="12"/>
      </patternFill>
    </fill>
    <fill>
      <patternFill patternType="solid">
        <fgColor indexed="63"/>
        <bgColor indexed="64"/>
      </patternFill>
    </fill>
    <fill>
      <patternFill patternType="solid">
        <fgColor indexed="26"/>
        <bgColor indexed="64"/>
      </patternFill>
    </fill>
    <fill>
      <patternFill patternType="solid">
        <fgColor indexed="10"/>
        <bgColor indexed="64"/>
      </patternFill>
    </fill>
    <fill>
      <patternFill patternType="mediumGray">
        <fgColor indexed="22"/>
      </patternFill>
    </fill>
    <fill>
      <patternFill patternType="darkVertical"/>
    </fill>
    <fill>
      <patternFill patternType="gray0625">
        <fgColor indexed="15"/>
      </patternFill>
    </fill>
    <fill>
      <patternFill patternType="solid">
        <fgColor indexed="9"/>
      </patternFill>
    </fill>
    <fill>
      <patternFill patternType="solid">
        <fgColor indexed="15"/>
        <bgColor indexed="64"/>
      </patternFill>
    </fill>
    <fill>
      <patternFill patternType="solid">
        <fgColor indexed="16"/>
        <bgColor indexed="64"/>
      </patternFill>
    </fill>
    <fill>
      <patternFill patternType="solid">
        <fgColor indexed="8"/>
        <bgColor indexed="64"/>
      </patternFill>
    </fill>
  </fills>
  <borders count="7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auto="1"/>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64"/>
      </right>
      <top style="thin">
        <color indexed="8"/>
      </top>
      <bottom/>
      <diagonal/>
    </border>
    <border>
      <left style="thin">
        <color indexed="65"/>
      </left>
      <right style="thin">
        <color indexed="8"/>
      </right>
      <top style="thin">
        <color indexed="8"/>
      </top>
      <bottom/>
      <diagonal/>
    </border>
    <border>
      <left/>
      <right style="thin">
        <color indexed="8"/>
      </right>
      <top style="thin">
        <color indexed="8"/>
      </top>
      <bottom/>
      <diagonal/>
    </border>
    <border>
      <left style="thin">
        <color indexed="8"/>
      </left>
      <right/>
      <top/>
      <bottom/>
      <diagonal/>
    </border>
    <border>
      <left style="thin">
        <color auto="1"/>
      </left>
      <right/>
      <top/>
      <bottom/>
      <diagonal/>
    </border>
    <border>
      <left style="thin">
        <color indexed="64"/>
      </left>
      <right/>
      <top style="thin">
        <color rgb="FF999999"/>
      </top>
      <bottom/>
      <diagonal/>
    </border>
    <border>
      <left/>
      <right/>
      <top style="thin">
        <color rgb="FF999999"/>
      </top>
      <bottom/>
      <diagonal/>
    </border>
    <border>
      <left/>
      <right style="thin">
        <color indexed="64"/>
      </right>
      <top style="thin">
        <color rgb="FF999999"/>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5"/>
      </left>
      <right/>
      <top style="thin">
        <color indexed="8"/>
      </top>
      <bottom style="thin">
        <color indexed="8"/>
      </bottom>
      <diagonal/>
    </border>
    <border>
      <left style="thin">
        <color rgb="FF999999"/>
      </left>
      <right/>
      <top style="thin">
        <color indexed="64"/>
      </top>
      <bottom style="thin">
        <color indexed="64"/>
      </bottom>
      <diagonal/>
    </border>
    <border>
      <left style="thin">
        <color rgb="FF999999"/>
      </left>
      <right/>
      <top style="thin">
        <color rgb="FF999999"/>
      </top>
      <bottom/>
      <diagonal/>
    </border>
    <border>
      <left/>
      <right style="thin">
        <color rgb="FF999999"/>
      </right>
      <top style="thin">
        <color rgb="FF999999"/>
      </top>
      <bottom/>
      <diagonal/>
    </border>
    <border>
      <left style="thin">
        <color indexed="8"/>
      </left>
      <right/>
      <top style="thin">
        <color indexed="8"/>
      </top>
      <bottom style="thin">
        <color indexed="64"/>
      </bottom>
      <diagonal/>
    </border>
    <border>
      <left style="thin">
        <color indexed="65"/>
      </left>
      <right/>
      <top style="thin">
        <color indexed="8"/>
      </top>
      <bottom style="thin">
        <color indexed="64"/>
      </bottom>
      <diagonal/>
    </border>
    <border>
      <left/>
      <right style="thin">
        <color indexed="8"/>
      </right>
      <top style="thin">
        <color indexed="8"/>
      </top>
      <bottom style="thin">
        <color indexed="64"/>
      </bottom>
      <diagonal/>
    </border>
    <border>
      <left style="thin">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bottom style="double">
        <color indexed="64"/>
      </bottom>
      <diagonal/>
    </border>
    <border>
      <left/>
      <right/>
      <top style="double">
        <color indexed="64"/>
      </top>
      <bottom style="double">
        <color indexed="64"/>
      </bottom>
      <diagonal/>
    </border>
    <border>
      <left/>
      <right/>
      <top/>
      <bottom style="thick">
        <color indexed="64"/>
      </bottom>
      <diagonal/>
    </border>
    <border>
      <left style="thin">
        <color indexed="65"/>
      </left>
      <right/>
      <top style="thin">
        <color rgb="FF000000"/>
      </top>
      <bottom/>
      <diagonal/>
    </border>
    <border>
      <left style="thin">
        <color indexed="65"/>
      </left>
      <right/>
      <top style="thin">
        <color rgb="FF000000"/>
      </top>
      <bottom style="thin">
        <color rgb="FF000000"/>
      </bottom>
      <diagonal/>
    </border>
    <border>
      <left style="thin">
        <color indexed="65"/>
      </left>
      <right/>
      <top style="thin">
        <color rgb="FF999999"/>
      </top>
      <bottom/>
      <diagonal/>
    </border>
    <border>
      <left style="thin">
        <color indexed="65"/>
      </left>
      <right/>
      <top style="thin">
        <color rgb="FF999999"/>
      </top>
      <bottom style="thin">
        <color rgb="FF999999"/>
      </bottom>
      <diagonal/>
    </border>
    <border>
      <left style="double">
        <color auto="1"/>
      </left>
      <right/>
      <top/>
      <bottom/>
      <diagonal/>
    </border>
    <border>
      <left/>
      <right/>
      <top style="medium">
        <color indexed="64"/>
      </top>
      <bottom/>
      <diagonal/>
    </border>
    <border>
      <left style="thin">
        <color indexed="64"/>
      </left>
      <right/>
      <top/>
      <bottom style="double">
        <color indexed="64"/>
      </bottom>
      <diagonal/>
    </border>
    <border>
      <left style="medium">
        <color indexed="64"/>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bottom style="thin">
        <color indexed="44"/>
      </bottom>
      <diagonal/>
    </border>
    <border>
      <left/>
      <right/>
      <top/>
      <bottom style="thin">
        <color indexed="8"/>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style="medium">
        <color indexed="64"/>
      </top>
      <bottom style="medium">
        <color indexed="64"/>
      </bottom>
      <diagonal/>
    </border>
    <border>
      <left/>
      <right/>
      <top style="medium">
        <color indexed="23"/>
      </top>
      <bottom style="medium">
        <color indexed="23"/>
      </bottom>
      <diagonal/>
    </border>
    <border>
      <left/>
      <right/>
      <top style="thick">
        <color indexed="64"/>
      </top>
      <bottom style="thin">
        <color indexed="64"/>
      </bottom>
      <diagonal/>
    </border>
    <border>
      <left/>
      <right/>
      <top/>
      <bottom style="thick">
        <color indexed="18"/>
      </bottom>
      <diagonal/>
    </border>
  </borders>
  <cellStyleXfs count="742">
    <xf numFmtId="0" fontId="0" fillId="0" borderId="0"/>
    <xf numFmtId="43" fontId="4" fillId="0" borderId="0" applyFont="0" applyFill="0" applyBorder="0" applyAlignment="0" applyProtection="0"/>
    <xf numFmtId="165" fontId="6" fillId="0" borderId="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7" fillId="0" borderId="17" applyNumberFormat="0" applyFill="0" applyProtection="0">
      <alignment horizontal="center" vertical="center"/>
    </xf>
    <xf numFmtId="3" fontId="8" fillId="0" borderId="18" applyFont="0" applyFill="0" applyAlignment="0" applyProtection="0"/>
    <xf numFmtId="3" fontId="8" fillId="0" borderId="18" applyFont="0" applyFill="0" applyAlignment="0" applyProtection="0"/>
    <xf numFmtId="3" fontId="8" fillId="0" borderId="18" applyFont="0" applyFill="0" applyAlignment="0" applyProtection="0"/>
    <xf numFmtId="3" fontId="8" fillId="0" borderId="18" applyFont="0" applyFill="0" applyAlignment="0" applyProtection="0"/>
    <xf numFmtId="3" fontId="8" fillId="0" borderId="18" applyFont="0" applyFill="0" applyAlignment="0" applyProtection="0"/>
    <xf numFmtId="3" fontId="8" fillId="0" borderId="18" applyFont="0" applyFill="0" applyAlignment="0" applyProtection="0"/>
    <xf numFmtId="3" fontId="8" fillId="0" borderId="18" applyFont="0" applyFill="0" applyAlignment="0" applyProtection="0"/>
    <xf numFmtId="3" fontId="8" fillId="0" borderId="18" applyFont="0" applyFill="0" applyAlignment="0" applyProtection="0"/>
    <xf numFmtId="3" fontId="7" fillId="0" borderId="17" applyNumberFormat="0" applyFill="0" applyAlignment="0" applyProtection="0"/>
    <xf numFmtId="0" fontId="7" fillId="0" borderId="17" applyNumberFormat="0" applyFill="0" applyAlignment="0" applyProtection="0"/>
    <xf numFmtId="3" fontId="7" fillId="0" borderId="17" applyNumberFormat="0" applyFill="0" applyAlignment="0" applyProtection="0"/>
    <xf numFmtId="0" fontId="7" fillId="0" borderId="17" applyNumberFormat="0" applyFill="0" applyAlignment="0" applyProtection="0"/>
    <xf numFmtId="0" fontId="7" fillId="0" borderId="17" applyNumberFormat="0" applyFill="0" applyAlignment="0" applyProtection="0"/>
    <xf numFmtId="0" fontId="7" fillId="0" borderId="17" applyNumberFormat="0" applyFill="0" applyAlignment="0" applyProtection="0"/>
    <xf numFmtId="0" fontId="7" fillId="0" borderId="17" applyNumberFormat="0" applyFill="0" applyAlignment="0" applyProtection="0"/>
    <xf numFmtId="0" fontId="7" fillId="0" borderId="17" applyNumberFormat="0" applyFill="0" applyAlignment="0" applyProtection="0"/>
    <xf numFmtId="3" fontId="8" fillId="0" borderId="0" applyNumberFormat="0" applyBorder="0" applyAlignment="0" applyProtection="0"/>
    <xf numFmtId="3" fontId="8" fillId="0" borderId="0" applyNumberFormat="0" applyBorder="0" applyAlignment="0" applyProtection="0"/>
    <xf numFmtId="3" fontId="8" fillId="0" borderId="0" applyNumberFormat="0" applyBorder="0" applyAlignment="0" applyProtection="0"/>
    <xf numFmtId="3" fontId="8" fillId="0" borderId="0" applyNumberFormat="0" applyBorder="0" applyAlignment="0" applyProtection="0"/>
    <xf numFmtId="3" fontId="8" fillId="0" borderId="0" applyNumberFormat="0" applyBorder="0" applyAlignment="0" applyProtection="0"/>
    <xf numFmtId="3" fontId="8" fillId="0" borderId="18" applyNumberFormat="0" applyBorder="0" applyAlignment="0" applyProtection="0"/>
    <xf numFmtId="3" fontId="8" fillId="0" borderId="18" applyNumberFormat="0" applyBorder="0" applyAlignment="0" applyProtection="0"/>
    <xf numFmtId="3" fontId="8" fillId="0" borderId="18" applyNumberFormat="0" applyBorder="0" applyAlignment="0" applyProtection="0"/>
    <xf numFmtId="0" fontId="8" fillId="0" borderId="18" applyNumberFormat="0" applyFill="0" applyAlignment="0" applyProtection="0"/>
    <xf numFmtId="0" fontId="8" fillId="0" borderId="18" applyNumberFormat="0" applyFill="0" applyAlignment="0" applyProtection="0"/>
    <xf numFmtId="0" fontId="8" fillId="0" borderId="18">
      <alignment horizontal="right" vertical="center"/>
    </xf>
    <xf numFmtId="3" fontId="8" fillId="6" borderId="18">
      <alignment horizontal="center" vertical="center"/>
    </xf>
    <xf numFmtId="0" fontId="8" fillId="6" borderId="18">
      <alignment horizontal="right" vertical="center"/>
    </xf>
    <xf numFmtId="0" fontId="7" fillId="0" borderId="19">
      <alignment horizontal="left" vertical="center"/>
    </xf>
    <xf numFmtId="0" fontId="7" fillId="0" borderId="20">
      <alignment horizontal="center" vertical="center"/>
    </xf>
    <xf numFmtId="0" fontId="9" fillId="0" borderId="21">
      <alignment horizontal="center" vertical="center"/>
    </xf>
    <xf numFmtId="0" fontId="8" fillId="4" borderId="18"/>
    <xf numFmtId="3" fontId="10" fillId="0" borderId="18"/>
    <xf numFmtId="3" fontId="11" fillId="0" borderId="18"/>
    <xf numFmtId="0" fontId="7" fillId="0" borderId="20">
      <alignment horizontal="left" vertical="top"/>
    </xf>
    <xf numFmtId="0" fontId="12" fillId="0" borderId="18"/>
    <xf numFmtId="0" fontId="7" fillId="0" borderId="20">
      <alignment horizontal="left" vertical="center"/>
    </xf>
    <xf numFmtId="0" fontId="8" fillId="6" borderId="22"/>
    <xf numFmtId="3" fontId="8" fillId="0" borderId="18">
      <alignment horizontal="right" vertical="center"/>
    </xf>
    <xf numFmtId="0" fontId="7" fillId="0" borderId="20">
      <alignment horizontal="right" vertical="center"/>
    </xf>
    <xf numFmtId="0" fontId="8" fillId="0" borderId="21">
      <alignment horizontal="center" vertical="center"/>
    </xf>
    <xf numFmtId="3" fontId="8" fillId="0" borderId="18"/>
    <xf numFmtId="3" fontId="8" fillId="0" borderId="18"/>
    <xf numFmtId="0" fontId="8" fillId="0" borderId="21">
      <alignment horizontal="center" vertical="center" wrapText="1"/>
    </xf>
    <xf numFmtId="0" fontId="13" fillId="0" borderId="21">
      <alignment horizontal="left" vertical="center" indent="1"/>
    </xf>
    <xf numFmtId="0" fontId="14" fillId="0" borderId="18"/>
    <xf numFmtId="0" fontId="7" fillId="0" borderId="19">
      <alignment horizontal="left" vertical="center"/>
    </xf>
    <xf numFmtId="3" fontId="8" fillId="0" borderId="18">
      <alignment horizontal="center" vertical="center"/>
    </xf>
    <xf numFmtId="0" fontId="7" fillId="0" borderId="20">
      <alignment horizontal="center" vertical="center"/>
    </xf>
    <xf numFmtId="0" fontId="7" fillId="0" borderId="20">
      <alignment horizontal="center" vertical="center"/>
    </xf>
    <xf numFmtId="0" fontId="7" fillId="0" borderId="19">
      <alignment horizontal="left" vertical="center"/>
    </xf>
    <xf numFmtId="0" fontId="7" fillId="0" borderId="19">
      <alignment horizontal="left" vertical="center"/>
    </xf>
    <xf numFmtId="0" fontId="15" fillId="0" borderId="18"/>
    <xf numFmtId="0" fontId="17" fillId="0" borderId="0"/>
    <xf numFmtId="0" fontId="4"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44" fontId="69" fillId="0" borderId="0" applyFont="0" applyFill="0" applyBorder="0" applyAlignment="0" applyProtection="0"/>
    <xf numFmtId="43" fontId="69" fillId="0" borderId="0" applyFont="0" applyFill="0" applyBorder="0" applyAlignment="0" applyProtection="0"/>
    <xf numFmtId="0" fontId="70" fillId="0" borderId="0"/>
    <xf numFmtId="0" fontId="71" fillId="0" borderId="0"/>
    <xf numFmtId="43" fontId="72" fillId="0" borderId="0" applyFont="0" applyFill="0" applyBorder="0" applyAlignment="0" applyProtection="0">
      <alignment vertical="top"/>
    </xf>
    <xf numFmtId="43" fontId="17" fillId="0" borderId="0" applyFont="0" applyFill="0" applyBorder="0" applyAlignment="0" applyProtection="0"/>
    <xf numFmtId="0" fontId="17" fillId="0" borderId="0"/>
    <xf numFmtId="0" fontId="17" fillId="0" borderId="0"/>
    <xf numFmtId="9" fontId="72" fillId="0" borderId="0" applyFont="0" applyFill="0" applyBorder="0" applyAlignment="0" applyProtection="0">
      <alignment vertical="top"/>
    </xf>
    <xf numFmtId="9" fontId="17" fillId="0" borderId="0" applyFont="0" applyFill="0" applyBorder="0" applyAlignment="0" applyProtection="0"/>
    <xf numFmtId="0" fontId="72" fillId="0" borderId="0">
      <alignment vertical="top"/>
    </xf>
    <xf numFmtId="43" fontId="17" fillId="0" borderId="0" applyFont="0" applyFill="0" applyBorder="0" applyAlignment="0" applyProtection="0"/>
    <xf numFmtId="43" fontId="17" fillId="0" borderId="0" applyFont="0" applyFill="0" applyBorder="0" applyAlignment="0" applyProtection="0"/>
    <xf numFmtId="0" fontId="17" fillId="0" borderId="0"/>
    <xf numFmtId="0" fontId="72" fillId="0" borderId="0">
      <alignment vertical="top"/>
    </xf>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72" fillId="0" borderId="0">
      <alignment vertical="top"/>
    </xf>
    <xf numFmtId="0" fontId="72" fillId="0" borderId="0">
      <alignment vertical="top"/>
    </xf>
    <xf numFmtId="0" fontId="4" fillId="0" borderId="0"/>
    <xf numFmtId="0" fontId="72" fillId="0" borderId="0">
      <alignment vertical="top"/>
    </xf>
    <xf numFmtId="43" fontId="72" fillId="0" borderId="0" applyFont="0" applyFill="0" applyBorder="0" applyAlignment="0" applyProtection="0">
      <alignment vertical="top"/>
    </xf>
    <xf numFmtId="0" fontId="72" fillId="0" borderId="0">
      <alignment vertical="top"/>
    </xf>
    <xf numFmtId="0" fontId="4" fillId="0" borderId="0"/>
    <xf numFmtId="0" fontId="72" fillId="0" borderId="0">
      <alignment vertical="top"/>
    </xf>
    <xf numFmtId="9" fontId="4" fillId="0" borderId="0" applyFont="0" applyFill="0" applyBorder="0" applyAlignment="0" applyProtection="0"/>
    <xf numFmtId="43" fontId="4" fillId="0" borderId="0" applyFont="0" applyFill="0" applyBorder="0" applyAlignment="0" applyProtection="0"/>
    <xf numFmtId="9" fontId="17" fillId="0" borderId="0" applyFont="0" applyFill="0" applyBorder="0" applyAlignment="0" applyProtection="0"/>
    <xf numFmtId="44" fontId="72" fillId="0" borderId="0" applyFont="0" applyFill="0" applyBorder="0" applyAlignment="0" applyProtection="0"/>
    <xf numFmtId="0" fontId="73" fillId="0" borderId="0">
      <alignment vertical="top"/>
    </xf>
    <xf numFmtId="0" fontId="17" fillId="0" borderId="0"/>
    <xf numFmtId="0" fontId="4" fillId="0" borderId="0"/>
    <xf numFmtId="0" fontId="73" fillId="0" borderId="0">
      <alignment vertical="top"/>
    </xf>
    <xf numFmtId="0" fontId="17"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73" fillId="0" borderId="0">
      <alignment vertical="top"/>
    </xf>
    <xf numFmtId="0" fontId="17" fillId="0" borderId="0"/>
    <xf numFmtId="43" fontId="52" fillId="0" borderId="0" applyFont="0" applyFill="0" applyBorder="0" applyAlignment="0" applyProtection="0"/>
    <xf numFmtId="9" fontId="52" fillId="0" borderId="0" applyFont="0" applyFill="0" applyBorder="0" applyAlignment="0" applyProtection="0"/>
    <xf numFmtId="0" fontId="74" fillId="0" borderId="0"/>
    <xf numFmtId="9" fontId="74" fillId="0" borderId="0" applyFont="0" applyFill="0" applyBorder="0" applyAlignment="0" applyProtection="0"/>
    <xf numFmtId="43" fontId="74" fillId="0" borderId="0" applyFont="0" applyFill="0" applyBorder="0" applyAlignment="0" applyProtection="0"/>
    <xf numFmtId="0" fontId="52" fillId="0" borderId="0"/>
    <xf numFmtId="44" fontId="52" fillId="0" borderId="0" applyFont="0" applyFill="0" applyBorder="0" applyAlignment="0" applyProtection="0"/>
    <xf numFmtId="0" fontId="4" fillId="0" borderId="0"/>
    <xf numFmtId="43" fontId="74" fillId="0" borderId="0" applyFont="0" applyFill="0" applyBorder="0" applyAlignment="0" applyProtection="0"/>
    <xf numFmtId="9" fontId="74" fillId="0" borderId="0" applyFont="0" applyFill="0" applyBorder="0" applyAlignment="0" applyProtection="0"/>
    <xf numFmtId="207" fontId="17" fillId="0" borderId="0"/>
    <xf numFmtId="0" fontId="75" fillId="0" borderId="0" applyNumberFormat="0" applyFont="0" applyFill="0" applyBorder="0" applyAlignment="0" applyProtection="0"/>
    <xf numFmtId="0" fontId="75" fillId="0" borderId="0" applyNumberFormat="0" applyFont="0" applyFill="0" applyBorder="0" applyAlignment="0" applyProtection="0"/>
    <xf numFmtId="208" fontId="76" fillId="0" borderId="0" applyFont="0" applyFill="0" applyBorder="0" applyAlignment="0"/>
    <xf numFmtId="0" fontId="77" fillId="0" borderId="0" applyFont="0" applyAlignment="0">
      <alignment horizontal="center" vertical="center"/>
    </xf>
    <xf numFmtId="0" fontId="56" fillId="0" borderId="0" applyNumberFormat="0" applyFont="0" applyBorder="0" applyAlignment="0">
      <alignment horizontal="left"/>
    </xf>
    <xf numFmtId="0" fontId="78" fillId="0" borderId="0"/>
    <xf numFmtId="0" fontId="79" fillId="0" borderId="0"/>
    <xf numFmtId="0" fontId="77" fillId="0" borderId="0" applyFont="0" applyAlignment="0">
      <alignment horizontal="center" vertical="center"/>
    </xf>
    <xf numFmtId="0" fontId="77" fillId="0" borderId="0" applyFont="0" applyAlignment="0">
      <alignment horizontal="center" vertical="center"/>
    </xf>
    <xf numFmtId="0" fontId="77" fillId="0" borderId="0" applyFont="0" applyAlignment="0">
      <alignment horizontal="center" vertical="center"/>
    </xf>
    <xf numFmtId="0" fontId="77" fillId="0" borderId="0" applyFont="0" applyAlignment="0">
      <alignment horizontal="center" vertical="center"/>
    </xf>
    <xf numFmtId="0" fontId="77" fillId="0" borderId="0" applyFont="0" applyAlignment="0">
      <alignment horizontal="center" vertical="center"/>
    </xf>
    <xf numFmtId="0" fontId="77" fillId="0" borderId="0" applyFont="0" applyAlignment="0">
      <alignment horizontal="center" vertical="center"/>
    </xf>
    <xf numFmtId="0" fontId="79" fillId="0" borderId="0"/>
    <xf numFmtId="0" fontId="79" fillId="0" borderId="0"/>
    <xf numFmtId="209" fontId="17" fillId="0" borderId="0" applyFont="0" applyFill="0" applyBorder="0" applyAlignment="0" applyProtection="0"/>
    <xf numFmtId="0" fontId="80" fillId="0" borderId="0" applyFont="0" applyFill="0" applyBorder="0" applyAlignment="0" applyProtection="0"/>
    <xf numFmtId="0" fontId="80" fillId="0" borderId="0" applyFont="0" applyFill="0" applyBorder="0" applyAlignment="0" applyProtection="0"/>
    <xf numFmtId="169" fontId="80" fillId="0" borderId="0" applyFont="0" applyFill="0" applyBorder="0" applyAlignment="0" applyProtection="0"/>
    <xf numFmtId="39" fontId="17" fillId="0" borderId="0" applyFont="0" applyFill="0" applyBorder="0" applyAlignment="0" applyProtection="0"/>
    <xf numFmtId="169" fontId="80" fillId="0" borderId="0" applyFont="0" applyFill="0" applyBorder="0" applyAlignment="0" applyProtection="0"/>
    <xf numFmtId="210" fontId="76" fillId="0" borderId="0" applyFont="0" applyFill="0" applyBorder="0" applyAlignment="0" applyProtection="0"/>
    <xf numFmtId="211" fontId="76" fillId="0" borderId="0" applyFont="0" applyFill="0" applyBorder="0" applyAlignment="0" applyProtection="0"/>
    <xf numFmtId="212" fontId="76" fillId="0" borderId="0" applyFont="0" applyFill="0" applyBorder="0" applyAlignment="0" applyProtection="0"/>
    <xf numFmtId="213" fontId="76" fillId="0" borderId="0" applyFont="0" applyFill="0" applyBorder="0" applyAlignment="0" applyProtection="0"/>
    <xf numFmtId="214" fontId="76" fillId="0" borderId="0" applyFont="0" applyFill="0" applyBorder="0" applyAlignment="0" applyProtection="0"/>
    <xf numFmtId="215" fontId="80" fillId="0" borderId="0" applyFont="0" applyFill="0" applyBorder="0" applyAlignment="0" applyProtection="0"/>
    <xf numFmtId="0" fontId="17" fillId="0" borderId="0" applyFont="0" applyFill="0" applyBorder="0" applyAlignment="0" applyProtection="0"/>
    <xf numFmtId="0" fontId="17" fillId="0" borderId="0"/>
    <xf numFmtId="0" fontId="17" fillId="0" borderId="0"/>
    <xf numFmtId="216" fontId="81" fillId="0" borderId="0" applyFont="0" applyFill="0" applyBorder="0" applyAlignment="0" applyProtection="0"/>
    <xf numFmtId="217" fontId="81" fillId="0" borderId="0" applyFont="0" applyFill="0" applyBorder="0" applyAlignment="0" applyProtection="0"/>
    <xf numFmtId="218" fontId="81" fillId="0" borderId="0" applyFont="0" applyFill="0" applyBorder="0" applyAlignment="0" applyProtection="0"/>
    <xf numFmtId="0" fontId="82" fillId="0" borderId="0" applyFont="0" applyFill="0" applyBorder="0" applyAlignment="0" applyProtection="0"/>
    <xf numFmtId="219" fontId="81" fillId="0" borderId="0" applyFont="0" applyFill="0" applyBorder="0" applyAlignment="0" applyProtection="0"/>
    <xf numFmtId="220" fontId="81" fillId="0" borderId="0" applyFont="0" applyFill="0" applyBorder="0" applyAlignment="0" applyProtection="0"/>
    <xf numFmtId="221" fontId="81" fillId="0" borderId="0" applyFont="0" applyFill="0" applyBorder="0" applyAlignment="0" applyProtection="0"/>
    <xf numFmtId="0" fontId="82" fillId="0" borderId="0" applyFont="0" applyFill="0" applyBorder="0" applyAlignment="0" applyProtection="0"/>
    <xf numFmtId="0" fontId="79" fillId="0" borderId="0"/>
    <xf numFmtId="205" fontId="17" fillId="18" borderId="64" applyNumberFormat="0" applyFill="0" applyBorder="0">
      <alignment vertical="top" wrapText="1"/>
    </xf>
    <xf numFmtId="222" fontId="79" fillId="0" borderId="0" applyFont="0" applyFill="0" applyBorder="0" applyAlignment="0" applyProtection="0"/>
    <xf numFmtId="0" fontId="79" fillId="0" borderId="0" applyFont="0" applyFill="0" applyBorder="0" applyAlignment="0" applyProtection="0"/>
    <xf numFmtId="223" fontId="17" fillId="0" borderId="6"/>
    <xf numFmtId="0" fontId="83" fillId="0" borderId="0"/>
    <xf numFmtId="224" fontId="17" fillId="0" borderId="11" applyBorder="0"/>
    <xf numFmtId="0" fontId="78" fillId="0" borderId="0">
      <alignment horizontal="center" wrapText="1"/>
      <protection locked="0"/>
    </xf>
    <xf numFmtId="0" fontId="17" fillId="0" borderId="0" applyNumberFormat="0" applyFill="0" applyBorder="0" applyAlignment="0" applyProtection="0"/>
    <xf numFmtId="0" fontId="84" fillId="0" borderId="0" applyNumberFormat="0" applyFill="0" applyBorder="0" applyAlignment="0" applyProtection="0"/>
    <xf numFmtId="0" fontId="76" fillId="0" borderId="65" applyNumberFormat="0" applyFill="0" applyAlignment="0" applyProtection="0"/>
    <xf numFmtId="0" fontId="85" fillId="0" borderId="0" applyNumberFormat="0" applyProtection="0"/>
    <xf numFmtId="0" fontId="79" fillId="0" borderId="0"/>
    <xf numFmtId="225" fontId="80" fillId="0" borderId="0" applyFont="0" applyFill="0" applyBorder="0" applyAlignment="0" applyProtection="0"/>
    <xf numFmtId="226" fontId="78" fillId="0" borderId="0" applyFont="0" applyFill="0" applyBorder="0" applyAlignment="0" applyProtection="0"/>
    <xf numFmtId="0" fontId="86" fillId="0" borderId="0"/>
    <xf numFmtId="0" fontId="87" fillId="0" borderId="0" applyNumberFormat="0" applyFill="0" applyBorder="0" applyAlignment="0" applyProtection="0"/>
    <xf numFmtId="0" fontId="88" fillId="19" borderId="0" applyNumberFormat="0" applyFill="0" applyBorder="0" applyAlignment="0" applyProtection="0">
      <protection locked="0"/>
    </xf>
    <xf numFmtId="227" fontId="79" fillId="0" borderId="0" applyFont="0" applyFill="0" applyBorder="0" applyAlignment="0" applyProtection="0"/>
    <xf numFmtId="228" fontId="79" fillId="0" borderId="0" applyFont="0" applyFill="0" applyBorder="0" applyAlignment="0" applyProtection="0"/>
    <xf numFmtId="229" fontId="89" fillId="0" borderId="0" applyFont="0" applyFill="0" applyBorder="0" applyAlignment="0" applyProtection="0"/>
    <xf numFmtId="230" fontId="79" fillId="0" borderId="0" applyFont="0" applyFill="0" applyBorder="0" applyAlignment="0" applyProtection="0"/>
    <xf numFmtId="231" fontId="89" fillId="0" borderId="0" applyFont="0" applyFill="0" applyBorder="0" applyAlignment="0" applyProtection="0"/>
    <xf numFmtId="232" fontId="79" fillId="0" borderId="0" applyFont="0" applyFill="0" applyBorder="0" applyAlignment="0" applyProtection="0"/>
    <xf numFmtId="233" fontId="79" fillId="0" borderId="0" applyFont="0" applyFill="0" applyBorder="0" applyAlignment="0" applyProtection="0"/>
    <xf numFmtId="234" fontId="79" fillId="0" borderId="0" applyFont="0" applyFill="0" applyBorder="0" applyAlignment="0" applyProtection="0"/>
    <xf numFmtId="235" fontId="79" fillId="0" borderId="0" applyFont="0" applyFill="0" applyBorder="0" applyAlignment="0" applyProtection="0"/>
    <xf numFmtId="236" fontId="79" fillId="0" borderId="0" applyFont="0" applyFill="0" applyBorder="0" applyAlignment="0" applyProtection="0"/>
    <xf numFmtId="237" fontId="79" fillId="0" borderId="0" applyFont="0" applyFill="0" applyBorder="0" applyAlignment="0" applyProtection="0"/>
    <xf numFmtId="238" fontId="79" fillId="0" borderId="0" applyFont="0" applyFill="0" applyBorder="0" applyAlignment="0" applyProtection="0"/>
    <xf numFmtId="239" fontId="79" fillId="0" borderId="0" applyFont="0" applyFill="0" applyBorder="0" applyAlignment="0" applyProtection="0"/>
    <xf numFmtId="0" fontId="90" fillId="0" borderId="0" applyNumberFormat="0" applyFill="0" applyBorder="0" applyAlignment="0" applyProtection="0"/>
    <xf numFmtId="0" fontId="91" fillId="0" borderId="0"/>
    <xf numFmtId="240" fontId="92" fillId="0" borderId="0" applyBorder="0" applyProtection="0"/>
    <xf numFmtId="213" fontId="92" fillId="0" borderId="0"/>
    <xf numFmtId="0" fontId="79" fillId="0" borderId="0"/>
    <xf numFmtId="0" fontId="93" fillId="0" borderId="4" applyNumberFormat="0" applyFill="0" applyAlignment="0" applyProtection="0"/>
    <xf numFmtId="0" fontId="94" fillId="19" borderId="6" applyNumberFormat="0" applyFill="0" applyBorder="0" applyAlignment="0" applyProtection="0">
      <protection locked="0"/>
    </xf>
    <xf numFmtId="5" fontId="95" fillId="0" borderId="7" applyAlignment="0" applyProtection="0"/>
    <xf numFmtId="0" fontId="78" fillId="0" borderId="12" applyNumberFormat="0" applyFont="0" applyFill="0" applyAlignment="0" applyProtection="0"/>
    <xf numFmtId="0" fontId="78" fillId="0" borderId="66" applyNumberFormat="0" applyFont="0" applyFill="0" applyAlignment="0" applyProtection="0"/>
    <xf numFmtId="241" fontId="6" fillId="0" borderId="12" applyNumberFormat="0" applyFill="0" applyAlignment="0" applyProtection="0">
      <alignment horizontal="center"/>
    </xf>
    <xf numFmtId="0" fontId="17" fillId="0" borderId="35" applyFill="0" applyProtection="0">
      <alignment horizontal="right"/>
    </xf>
    <xf numFmtId="212" fontId="6" fillId="0" borderId="4" applyFill="0" applyAlignment="0" applyProtection="0">
      <alignment horizontal="center"/>
    </xf>
    <xf numFmtId="242" fontId="96" fillId="0" borderId="0" applyFont="0" applyFill="0" applyBorder="0" applyAlignment="0" applyProtection="0"/>
    <xf numFmtId="0" fontId="82" fillId="0" borderId="0" applyFont="0" applyFill="0" applyBorder="0" applyAlignment="0" applyProtection="0"/>
    <xf numFmtId="243" fontId="81" fillId="0" borderId="0" applyFont="0" applyFill="0" applyBorder="0" applyProtection="0">
      <alignment horizontal="left"/>
    </xf>
    <xf numFmtId="244" fontId="81" fillId="0" borderId="0" applyFont="0" applyFill="0" applyBorder="0" applyProtection="0">
      <alignment horizontal="left"/>
    </xf>
    <xf numFmtId="245" fontId="81" fillId="0" borderId="0" applyFont="0" applyFill="0" applyBorder="0" applyProtection="0">
      <alignment horizontal="left"/>
    </xf>
    <xf numFmtId="0" fontId="82" fillId="0" borderId="0" applyFont="0" applyFill="0" applyBorder="0" applyAlignment="0" applyProtection="0"/>
    <xf numFmtId="0" fontId="17" fillId="0" borderId="0" applyNumberFormat="0" applyFill="0" applyBorder="0" applyAlignment="0" applyProtection="0"/>
    <xf numFmtId="209" fontId="97" fillId="0" borderId="12">
      <alignment horizontal="center"/>
    </xf>
    <xf numFmtId="246" fontId="72" fillId="0" borderId="0" applyFill="0" applyBorder="0" applyAlignment="0"/>
    <xf numFmtId="0" fontId="76" fillId="0" borderId="0" applyFill="0" applyBorder="0" applyAlignment="0"/>
    <xf numFmtId="0" fontId="17" fillId="0" borderId="0" applyFill="0" applyBorder="0" applyAlignment="0"/>
    <xf numFmtId="0" fontId="17" fillId="0" borderId="0" applyFill="0" applyBorder="0" applyAlignment="0"/>
    <xf numFmtId="0" fontId="17" fillId="0" borderId="0" applyFill="0" applyBorder="0" applyAlignment="0"/>
    <xf numFmtId="0" fontId="17" fillId="0" borderId="0" applyFill="0" applyBorder="0" applyAlignment="0"/>
    <xf numFmtId="0" fontId="17" fillId="0" borderId="0" applyFill="0" applyBorder="0" applyAlignment="0"/>
    <xf numFmtId="0" fontId="76" fillId="0" borderId="0" applyFill="0" applyBorder="0" applyAlignment="0"/>
    <xf numFmtId="247" fontId="17" fillId="0" borderId="0"/>
    <xf numFmtId="226" fontId="78" fillId="0" borderId="0" applyFill="0" applyBorder="0" applyProtection="0"/>
    <xf numFmtId="226" fontId="17" fillId="0" borderId="0" applyFont="0" applyFill="0" applyBorder="0" applyAlignment="0" applyProtection="0"/>
    <xf numFmtId="215" fontId="79" fillId="0" borderId="0"/>
    <xf numFmtId="8" fontId="17" fillId="0" borderId="67" applyFont="0" applyFill="0" applyBorder="0" applyProtection="0">
      <alignment horizontal="right"/>
    </xf>
    <xf numFmtId="0" fontId="98" fillId="0" borderId="0">
      <alignment horizontal="center" wrapText="1"/>
    </xf>
    <xf numFmtId="225" fontId="80" fillId="0" borderId="54" applyFont="0" applyFill="0" applyAlignment="0" applyProtection="0"/>
    <xf numFmtId="0" fontId="99" fillId="0" borderId="0" applyProtection="0"/>
    <xf numFmtId="0" fontId="76" fillId="0" borderId="0" applyNumberFormat="0" applyFill="0" applyBorder="0" applyAlignment="0" applyProtection="0"/>
    <xf numFmtId="0" fontId="100" fillId="0" borderId="4" applyNumberFormat="0" applyFill="0" applyBorder="0" applyAlignment="0" applyProtection="0">
      <alignment horizontal="center"/>
    </xf>
    <xf numFmtId="0" fontId="17" fillId="0" borderId="0">
      <alignment horizontal="center" wrapText="1"/>
      <protection hidden="1"/>
    </xf>
    <xf numFmtId="0" fontId="101" fillId="0" borderId="52">
      <alignment horizontal="center" wrapText="1"/>
    </xf>
    <xf numFmtId="241" fontId="99" fillId="0" borderId="0" applyFill="0" applyBorder="0" applyProtection="0">
      <alignment horizontal="center"/>
    </xf>
    <xf numFmtId="248" fontId="102" fillId="0" borderId="0">
      <alignment horizontal="right"/>
    </xf>
    <xf numFmtId="215" fontId="79" fillId="0" borderId="0"/>
    <xf numFmtId="249" fontId="103" fillId="0" borderId="0"/>
    <xf numFmtId="249" fontId="103" fillId="0" borderId="0"/>
    <xf numFmtId="249" fontId="103" fillId="0" borderId="0"/>
    <xf numFmtId="249" fontId="103" fillId="0" borderId="0"/>
    <xf numFmtId="249" fontId="103" fillId="0" borderId="0"/>
    <xf numFmtId="249" fontId="103" fillId="0" borderId="0"/>
    <xf numFmtId="249" fontId="103" fillId="0" borderId="0"/>
    <xf numFmtId="249" fontId="103" fillId="0" borderId="0"/>
    <xf numFmtId="250" fontId="17" fillId="0" borderId="0"/>
    <xf numFmtId="41" fontId="98" fillId="0" borderId="7"/>
    <xf numFmtId="209" fontId="79" fillId="0" borderId="0" applyFont="0" applyFill="0" applyBorder="0" applyAlignment="0" applyProtection="0"/>
    <xf numFmtId="178" fontId="98" fillId="0" borderId="7"/>
    <xf numFmtId="178" fontId="84" fillId="0" borderId="0"/>
    <xf numFmtId="39" fontId="79" fillId="0" borderId="0" applyFont="0" applyFill="0" applyBorder="0" applyAlignment="0" applyProtection="0"/>
    <xf numFmtId="251" fontId="98" fillId="0" borderId="7"/>
    <xf numFmtId="251" fontId="84" fillId="0" borderId="0"/>
    <xf numFmtId="207" fontId="79" fillId="0" borderId="0" applyFont="0" applyFill="0" applyBorder="0" applyAlignment="0" applyProtection="0"/>
    <xf numFmtId="0" fontId="80" fillId="0" borderId="0" applyFont="0" applyFill="0" applyBorder="0" applyAlignment="0" applyProtection="0">
      <alignment horizontal="right"/>
    </xf>
    <xf numFmtId="252" fontId="80" fillId="0" borderId="0" applyFont="0" applyFill="0" applyBorder="0" applyAlignment="0" applyProtection="0"/>
    <xf numFmtId="0" fontId="80" fillId="0" borderId="0" applyFont="0" applyFill="0" applyBorder="0" applyAlignment="0" applyProtection="0">
      <alignment horizontal="right"/>
    </xf>
    <xf numFmtId="253" fontId="80" fillId="0" borderId="0" applyFont="0" applyFill="0" applyBorder="0" applyAlignment="0" applyProtection="0"/>
    <xf numFmtId="0" fontId="80" fillId="0" borderId="0" applyFont="0" applyFill="0" applyBorder="0" applyAlignment="0" applyProtection="0">
      <alignment horizontal="right"/>
    </xf>
    <xf numFmtId="254" fontId="80" fillId="0" borderId="0" applyFont="0" applyFill="0" applyBorder="0" applyAlignment="0" applyProtection="0"/>
    <xf numFmtId="40" fontId="17" fillId="0" borderId="0" applyFont="0" applyFill="0" applyBorder="0" applyProtection="0">
      <alignment horizontal="right"/>
    </xf>
    <xf numFmtId="255" fontId="80" fillId="0" borderId="0" applyFont="0" applyFill="0" applyBorder="0" applyAlignment="0" applyProtection="0"/>
    <xf numFmtId="3" fontId="17" fillId="0" borderId="0" applyFont="0" applyFill="0" applyBorder="0" applyAlignment="0" applyProtection="0"/>
    <xf numFmtId="0" fontId="104" fillId="0" borderId="0"/>
    <xf numFmtId="0" fontId="105" fillId="0" borderId="0"/>
    <xf numFmtId="0" fontId="104" fillId="0" borderId="0"/>
    <xf numFmtId="0" fontId="105" fillId="0" borderId="0"/>
    <xf numFmtId="256" fontId="78" fillId="0" borderId="0" applyFont="0" applyFill="0" applyBorder="0" applyAlignment="0" applyProtection="0"/>
    <xf numFmtId="208" fontId="79" fillId="0" borderId="0">
      <alignment horizontal="right"/>
    </xf>
    <xf numFmtId="0" fontId="106" fillId="20" borderId="0">
      <alignment horizontal="center" vertical="center" wrapText="1"/>
    </xf>
    <xf numFmtId="215" fontId="99" fillId="0" borderId="0" applyFill="0" applyBorder="0">
      <alignment horizontal="left"/>
    </xf>
    <xf numFmtId="0" fontId="107" fillId="0" borderId="0" applyNumberFormat="0" applyAlignment="0">
      <alignment horizontal="left"/>
    </xf>
    <xf numFmtId="0" fontId="108" fillId="0" borderId="0">
      <alignment horizontal="left"/>
    </xf>
    <xf numFmtId="0" fontId="109" fillId="0" borderId="0"/>
    <xf numFmtId="0" fontId="110" fillId="0" borderId="0">
      <alignment horizontal="left"/>
    </xf>
    <xf numFmtId="6" fontId="111" fillId="0" borderId="0" applyFont="0" applyFill="0" applyBorder="0" applyAlignment="0" applyProtection="0"/>
    <xf numFmtId="0" fontId="79" fillId="0" borderId="0" applyFill="0" applyBorder="0">
      <alignment horizontal="right"/>
      <protection locked="0"/>
    </xf>
    <xf numFmtId="225" fontId="78" fillId="0" borderId="0" applyFont="0" applyFill="0" applyBorder="0" applyAlignment="0" applyProtection="0">
      <protection locked="0"/>
    </xf>
    <xf numFmtId="257" fontId="78" fillId="0" borderId="0" applyFont="0" applyFill="0" applyBorder="0" applyAlignment="0" applyProtection="0">
      <protection locked="0"/>
    </xf>
    <xf numFmtId="180" fontId="98" fillId="0" borderId="7"/>
    <xf numFmtId="258" fontId="79" fillId="0" borderId="0" applyFont="0" applyFill="0" applyBorder="0" applyAlignment="0" applyProtection="0"/>
    <xf numFmtId="206" fontId="98" fillId="0" borderId="7"/>
    <xf numFmtId="206" fontId="84" fillId="0" borderId="0"/>
    <xf numFmtId="259" fontId="79" fillId="0" borderId="0" applyFont="0" applyFill="0" applyBorder="0" applyAlignment="0" applyProtection="0"/>
    <xf numFmtId="44" fontId="98" fillId="0" borderId="7"/>
    <xf numFmtId="44" fontId="84" fillId="0" borderId="0"/>
    <xf numFmtId="260" fontId="79" fillId="0" borderId="0" applyFont="0" applyFill="0" applyBorder="0" applyAlignment="0" applyProtection="0"/>
    <xf numFmtId="0" fontId="80" fillId="0" borderId="0" applyFont="0" applyFill="0" applyBorder="0" applyAlignment="0" applyProtection="0">
      <alignment horizontal="right"/>
    </xf>
    <xf numFmtId="0" fontId="80" fillId="0" borderId="0" applyFont="0" applyFill="0" applyBorder="0" applyAlignment="0" applyProtection="0">
      <alignment horizontal="right"/>
    </xf>
    <xf numFmtId="7" fontId="98" fillId="0" borderId="7"/>
    <xf numFmtId="261" fontId="112" fillId="0" borderId="0" applyFont="0" applyFill="0" applyBorder="0" applyAlignment="0" applyProtection="0"/>
    <xf numFmtId="0" fontId="80" fillId="0" borderId="0" applyFill="0" applyBorder="0" applyProtection="0"/>
    <xf numFmtId="262" fontId="112" fillId="0" borderId="0" applyFont="0" applyFill="0" applyBorder="0" applyAlignment="0" applyProtection="0"/>
    <xf numFmtId="263" fontId="80" fillId="0" borderId="0" applyFont="0" applyFill="0" applyBorder="0" applyAlignment="0" applyProtection="0"/>
    <xf numFmtId="190" fontId="113" fillId="0" borderId="0" applyFill="0" applyBorder="0" applyAlignment="0" applyProtection="0"/>
    <xf numFmtId="264" fontId="114" fillId="0" borderId="68" applyFont="0" applyFill="0" applyBorder="0" applyAlignment="0" applyProtection="0">
      <alignment horizontal="right"/>
    </xf>
    <xf numFmtId="265" fontId="17" fillId="0" borderId="0" applyFill="0" applyBorder="0" applyProtection="0">
      <alignment vertical="center"/>
    </xf>
    <xf numFmtId="266" fontId="78" fillId="0" borderId="0" applyFont="0" applyFill="0" applyBorder="0" applyAlignment="0" applyProtection="0"/>
    <xf numFmtId="0" fontId="76" fillId="18" borderId="0" applyFont="0" applyBorder="0"/>
    <xf numFmtId="239" fontId="115" fillId="19" borderId="0" applyFont="0" applyFill="0" applyBorder="0" applyAlignment="0" applyProtection="0">
      <alignment vertical="center"/>
      <protection locked="0"/>
    </xf>
    <xf numFmtId="0" fontId="82" fillId="0" borderId="0" applyFont="0" applyFill="0" applyBorder="0" applyAlignment="0" applyProtection="0"/>
    <xf numFmtId="14" fontId="116" fillId="21" borderId="5"/>
    <xf numFmtId="267" fontId="79" fillId="0" borderId="69" applyFont="0" applyFill="0" applyBorder="0" applyAlignment="0" applyProtection="0"/>
    <xf numFmtId="268" fontId="81" fillId="0" borderId="0" applyFont="0" applyFill="0" applyBorder="0" applyProtection="0"/>
    <xf numFmtId="269" fontId="79" fillId="0" borderId="0" applyFont="0" applyFill="0" applyBorder="0" applyAlignment="0" applyProtection="0"/>
    <xf numFmtId="270" fontId="81" fillId="0" borderId="0" applyFont="0" applyFill="0" applyBorder="0" applyProtection="0"/>
    <xf numFmtId="271" fontId="81" fillId="0" borderId="0" applyFont="0" applyFill="0" applyBorder="0" applyAlignment="0" applyProtection="0"/>
    <xf numFmtId="272" fontId="79" fillId="0" borderId="0" applyFont="0" applyFill="0" applyBorder="0" applyAlignment="0" applyProtection="0"/>
    <xf numFmtId="273" fontId="79" fillId="0" borderId="0" applyFont="0" applyFill="0" applyBorder="0" applyAlignment="0" applyProtection="0"/>
    <xf numFmtId="274" fontId="79" fillId="0" borderId="0" applyFont="0" applyFill="0" applyBorder="0" applyAlignment="0" applyProtection="0"/>
    <xf numFmtId="275" fontId="81" fillId="0" borderId="0" applyFont="0" applyFill="0" applyBorder="0" applyAlignment="0" applyProtection="0"/>
    <xf numFmtId="276" fontId="81" fillId="0" borderId="0" applyFont="0" applyFill="0" applyBorder="0" applyAlignment="0" applyProtection="0"/>
    <xf numFmtId="0" fontId="80" fillId="0" borderId="0" applyFont="0" applyFill="0" applyBorder="0" applyAlignment="0" applyProtection="0"/>
    <xf numFmtId="277" fontId="80" fillId="0" borderId="0" applyFont="0" applyFill="0" applyBorder="0" applyAlignment="0" applyProtection="0"/>
    <xf numFmtId="0" fontId="80" fillId="0" borderId="0" applyFont="0" applyFill="0" applyBorder="0" applyAlignment="0" applyProtection="0"/>
    <xf numFmtId="14" fontId="17" fillId="0" borderId="0" applyFill="0" applyBorder="0" applyProtection="0">
      <alignment horizontal="center"/>
    </xf>
    <xf numFmtId="278" fontId="80" fillId="0" borderId="0" applyFill="0" applyBorder="0" applyProtection="0">
      <alignment horizontal="center"/>
    </xf>
    <xf numFmtId="279" fontId="78" fillId="0" borderId="0" applyFont="0" applyFill="0" applyBorder="0" applyProtection="0">
      <alignment horizontal="right"/>
    </xf>
    <xf numFmtId="15" fontId="78" fillId="0" borderId="0" applyFont="0" applyFill="0" applyBorder="0" applyAlignment="0" applyProtection="0">
      <alignment horizontal="center"/>
    </xf>
    <xf numFmtId="14" fontId="17" fillId="0" borderId="0" applyFont="0" applyFill="0" applyBorder="0" applyAlignment="0" applyProtection="0">
      <alignment horizontal="center"/>
    </xf>
    <xf numFmtId="278" fontId="80" fillId="0" borderId="0" applyFont="0" applyFill="0" applyBorder="0" applyAlignment="0" applyProtection="0">
      <alignment horizontal="center"/>
    </xf>
    <xf numFmtId="189" fontId="76" fillId="0" borderId="7" applyFont="0" applyFill="0" applyBorder="0" applyAlignment="0" applyProtection="0">
      <alignment horizontal="center"/>
    </xf>
    <xf numFmtId="214" fontId="76" fillId="0" borderId="7" applyFont="0" applyFill="0" applyBorder="0" applyAlignment="0" applyProtection="0">
      <alignment horizontal="center"/>
    </xf>
    <xf numFmtId="280" fontId="76" fillId="0" borderId="0" applyFont="0" applyFill="0" applyBorder="0" applyAlignment="0" applyProtection="0"/>
    <xf numFmtId="225" fontId="76" fillId="0" borderId="0" applyFont="0" applyFill="0" applyBorder="0" applyAlignment="0" applyProtection="0"/>
    <xf numFmtId="0" fontId="117" fillId="0" borderId="0">
      <protection locked="0"/>
    </xf>
    <xf numFmtId="38" fontId="78" fillId="0" borderId="0" applyNumberFormat="0"/>
    <xf numFmtId="281" fontId="92" fillId="0" borderId="0" applyBorder="0" applyProtection="0"/>
    <xf numFmtId="282" fontId="76" fillId="0" borderId="0" applyFill="0" applyBorder="0" applyProtection="0"/>
    <xf numFmtId="6" fontId="78" fillId="0" borderId="0" applyFill="0" applyBorder="0" applyProtection="0"/>
    <xf numFmtId="8" fontId="78" fillId="0" borderId="0" applyFont="0" applyFill="0" applyBorder="0" applyAlignment="0" applyProtection="0"/>
    <xf numFmtId="283" fontId="76" fillId="0" borderId="0" applyFont="0" applyFill="0" applyBorder="0" applyAlignment="0" applyProtection="0"/>
    <xf numFmtId="6" fontId="78" fillId="0" borderId="0" applyFont="0" applyFill="0" applyBorder="0" applyAlignment="0" applyProtection="0"/>
    <xf numFmtId="0" fontId="80" fillId="0" borderId="70" applyNumberFormat="0" applyFont="0" applyFill="0" applyAlignment="0" applyProtection="0"/>
    <xf numFmtId="42" fontId="118" fillId="0" borderId="0" applyFill="0" applyBorder="0" applyAlignment="0" applyProtection="0"/>
    <xf numFmtId="241" fontId="6" fillId="0" borderId="54" applyNumberFormat="0" applyFill="0" applyAlignment="0" applyProtection="0"/>
    <xf numFmtId="0" fontId="119" fillId="0" borderId="7" applyNumberFormat="0" applyBorder="0"/>
    <xf numFmtId="284" fontId="120" fillId="0" borderId="0" applyBorder="0" applyAlignment="0">
      <alignment horizontal="left"/>
    </xf>
    <xf numFmtId="0" fontId="121" fillId="0" borderId="0">
      <protection locked="0"/>
    </xf>
    <xf numFmtId="0" fontId="121" fillId="0" borderId="0">
      <protection locked="0"/>
    </xf>
    <xf numFmtId="0" fontId="122" fillId="0" borderId="0" applyNumberFormat="0" applyAlignment="0">
      <alignment horizontal="left"/>
    </xf>
    <xf numFmtId="285" fontId="17" fillId="0" borderId="0" applyFont="0" applyFill="0" applyBorder="0" applyAlignment="0" applyProtection="0"/>
    <xf numFmtId="286" fontId="17" fillId="0" borderId="0" applyFont="0" applyFill="0" applyBorder="0" applyAlignment="0" applyProtection="0"/>
    <xf numFmtId="0" fontId="117" fillId="0" borderId="0">
      <protection locked="0"/>
    </xf>
    <xf numFmtId="0" fontId="117" fillId="0" borderId="0">
      <protection locked="0"/>
    </xf>
    <xf numFmtId="0" fontId="117" fillId="0" borderId="0">
      <protection locked="0"/>
    </xf>
    <xf numFmtId="0" fontId="117" fillId="0" borderId="0">
      <protection locked="0"/>
    </xf>
    <xf numFmtId="0" fontId="117" fillId="0" borderId="0">
      <protection locked="0"/>
    </xf>
    <xf numFmtId="0" fontId="117" fillId="0" borderId="0">
      <protection locked="0"/>
    </xf>
    <xf numFmtId="0" fontId="117" fillId="0" borderId="0">
      <protection locked="0"/>
    </xf>
    <xf numFmtId="0" fontId="117" fillId="0" borderId="0">
      <protection locked="0"/>
    </xf>
    <xf numFmtId="0" fontId="117" fillId="0" borderId="0">
      <protection locked="0"/>
    </xf>
    <xf numFmtId="287" fontId="123" fillId="0" borderId="0"/>
    <xf numFmtId="0" fontId="124" fillId="0" borderId="0">
      <alignment horizontal="left"/>
    </xf>
    <xf numFmtId="0" fontId="125" fillId="0" borderId="0">
      <alignment horizontal="left"/>
    </xf>
    <xf numFmtId="0" fontId="78" fillId="0" borderId="0" applyFill="0" applyBorder="0" applyProtection="0">
      <alignment horizontal="left"/>
    </xf>
    <xf numFmtId="0" fontId="126" fillId="0" borderId="0" applyNumberFormat="0" applyFill="0" applyBorder="0" applyProtection="0">
      <alignment horizontal="left"/>
    </xf>
    <xf numFmtId="0" fontId="126" fillId="0" borderId="0">
      <alignment horizontal="left"/>
    </xf>
    <xf numFmtId="0" fontId="17" fillId="0" borderId="0" applyNumberFormat="0" applyFill="0" applyBorder="0" applyAlignment="0" applyProtection="0"/>
    <xf numFmtId="273" fontId="76" fillId="0" borderId="0"/>
    <xf numFmtId="272" fontId="76" fillId="0" borderId="0"/>
    <xf numFmtId="226" fontId="76" fillId="19" borderId="52" applyFont="0" applyBorder="0" applyAlignment="0" applyProtection="0">
      <alignment vertical="top"/>
    </xf>
    <xf numFmtId="0" fontId="79" fillId="0" borderId="0" applyFont="0" applyFill="0" applyBorder="0" applyAlignment="0" applyProtection="0"/>
    <xf numFmtId="288" fontId="79" fillId="0" borderId="0" applyFont="0" applyFill="0" applyBorder="0" applyAlignment="0" applyProtection="0"/>
    <xf numFmtId="210" fontId="79" fillId="0" borderId="0" applyFont="0" applyFill="0" applyBorder="0" applyAlignment="0" applyProtection="0"/>
    <xf numFmtId="213" fontId="17" fillId="0" borderId="0" applyFont="0" applyFill="0" applyBorder="0" applyAlignment="0" applyProtection="0"/>
    <xf numFmtId="226" fontId="78" fillId="0" borderId="0" applyFill="0" applyBorder="0" applyAlignment="0" applyProtection="0">
      <protection locked="0"/>
    </xf>
    <xf numFmtId="0" fontId="81" fillId="0" borderId="0" applyFont="0" applyFill="0" applyBorder="0" applyProtection="0">
      <alignment horizontal="center" wrapText="1"/>
    </xf>
    <xf numFmtId="289" fontId="81" fillId="0" borderId="0" applyFont="0" applyFill="0" applyBorder="0" applyProtection="0">
      <alignment horizontal="right"/>
    </xf>
    <xf numFmtId="248" fontId="127" fillId="0" borderId="0"/>
    <xf numFmtId="37" fontId="56" fillId="0" borderId="8"/>
    <xf numFmtId="38" fontId="76" fillId="18" borderId="0" applyNumberFormat="0" applyBorder="0" applyAlignment="0" applyProtection="0"/>
    <xf numFmtId="225" fontId="80" fillId="0" borderId="0" applyNumberFormat="0" applyAlignment="0"/>
    <xf numFmtId="211" fontId="76" fillId="0" borderId="0" applyFill="0" applyBorder="0" applyAlignment="0" applyProtection="0"/>
    <xf numFmtId="290" fontId="76" fillId="0" borderId="0" applyAlignment="0">
      <alignment horizontal="left"/>
      <protection locked="0"/>
    </xf>
    <xf numFmtId="0" fontId="56" fillId="0" borderId="0" applyBorder="0">
      <alignment horizontal="left"/>
    </xf>
    <xf numFmtId="0" fontId="80" fillId="0" borderId="0" applyFont="0" applyFill="0" applyBorder="0" applyAlignment="0" applyProtection="0">
      <alignment horizontal="right"/>
    </xf>
    <xf numFmtId="0" fontId="128" fillId="0" borderId="0" applyProtection="0">
      <alignment horizontal="right"/>
    </xf>
    <xf numFmtId="0" fontId="129" fillId="0" borderId="0">
      <alignment horizontal="left"/>
    </xf>
    <xf numFmtId="0" fontId="129" fillId="0" borderId="0">
      <alignment horizontal="left"/>
    </xf>
    <xf numFmtId="0" fontId="98" fillId="0" borderId="71" applyNumberFormat="0" applyAlignment="0" applyProtection="0">
      <alignment horizontal="left" vertical="center"/>
    </xf>
    <xf numFmtId="0" fontId="98" fillId="0" borderId="3">
      <alignment horizontal="left" vertical="center"/>
    </xf>
    <xf numFmtId="0" fontId="130" fillId="0" borderId="0">
      <alignment horizontal="center"/>
    </xf>
    <xf numFmtId="0" fontId="131" fillId="0" borderId="4">
      <alignment horizontal="center"/>
    </xf>
    <xf numFmtId="0" fontId="132" fillId="0" borderId="0">
      <alignment horizontal="left"/>
    </xf>
    <xf numFmtId="0" fontId="133" fillId="0" borderId="1">
      <alignment horizontal="left" vertical="top"/>
    </xf>
    <xf numFmtId="0" fontId="134" fillId="0" borderId="0">
      <alignment horizontal="left"/>
    </xf>
    <xf numFmtId="0" fontId="135" fillId="0" borderId="1">
      <alignment horizontal="left" vertical="top"/>
    </xf>
    <xf numFmtId="0" fontId="136" fillId="0" borderId="0">
      <alignment horizontal="left"/>
    </xf>
    <xf numFmtId="0" fontId="137" fillId="0" borderId="12">
      <alignment horizontal="center"/>
    </xf>
    <xf numFmtId="0" fontId="137" fillId="0" borderId="0">
      <alignment horizontal="center"/>
    </xf>
    <xf numFmtId="0" fontId="138" fillId="0" borderId="4" applyFill="0" applyBorder="0" applyProtection="0">
      <alignment horizontal="center" wrapText="1"/>
    </xf>
    <xf numFmtId="0" fontId="138" fillId="0" borderId="0" applyFill="0" applyBorder="0" applyProtection="0">
      <alignment horizontal="left" vertical="top" wrapText="1"/>
    </xf>
    <xf numFmtId="239" fontId="79" fillId="0" borderId="0" applyFont="0" applyFill="0" applyBorder="0" applyAlignment="0" applyProtection="0"/>
    <xf numFmtId="225" fontId="80" fillId="0" borderId="0" applyFont="0" applyFill="0" applyBorder="0" applyAlignment="0" applyProtection="0"/>
    <xf numFmtId="38" fontId="78" fillId="0" borderId="0" applyNumberFormat="0"/>
    <xf numFmtId="225" fontId="80" fillId="0" borderId="0" applyFont="0" applyFill="0" applyBorder="0" applyAlignment="0" applyProtection="0"/>
    <xf numFmtId="291" fontId="81" fillId="0" borderId="0" applyFont="0" applyFill="0" applyBorder="0" applyProtection="0">
      <alignment horizontal="left"/>
    </xf>
    <xf numFmtId="292" fontId="81" fillId="0" borderId="0" applyFont="0" applyFill="0" applyBorder="0" applyProtection="0">
      <alignment horizontal="left"/>
    </xf>
    <xf numFmtId="293" fontId="81" fillId="0" borderId="0" applyFont="0" applyFill="0" applyBorder="0" applyProtection="0">
      <alignment horizontal="left"/>
    </xf>
    <xf numFmtId="294" fontId="81" fillId="0" borderId="0" applyFont="0" applyFill="0" applyBorder="0" applyProtection="0">
      <alignment horizontal="left"/>
    </xf>
    <xf numFmtId="40" fontId="78" fillId="0" borderId="0" applyFont="0" applyFill="0" applyBorder="0" applyAlignment="0" applyProtection="0">
      <alignment horizontal="right"/>
    </xf>
    <xf numFmtId="10" fontId="76" fillId="22" borderId="52" applyNumberFormat="0" applyBorder="0" applyAlignment="0" applyProtection="0"/>
    <xf numFmtId="169" fontId="139" fillId="0" borderId="0">
      <alignment horizontal="right"/>
    </xf>
    <xf numFmtId="278" fontId="76" fillId="0" borderId="0" applyFill="0" applyBorder="0" applyProtection="0"/>
    <xf numFmtId="286" fontId="76" fillId="0" borderId="0" applyFill="0" applyBorder="0" applyProtection="0"/>
    <xf numFmtId="295" fontId="76" fillId="0" borderId="0" applyFill="0" applyBorder="0" applyProtection="0"/>
    <xf numFmtId="211" fontId="76" fillId="0" borderId="0" applyFill="0" applyBorder="0" applyProtection="0"/>
    <xf numFmtId="296" fontId="76" fillId="0" borderId="0" applyFill="0" applyBorder="0" applyProtection="0"/>
    <xf numFmtId="258" fontId="76" fillId="0" borderId="0"/>
    <xf numFmtId="189" fontId="76" fillId="22" borderId="0" applyNumberFormat="0" applyFont="0" applyBorder="0" applyAlignment="0" applyProtection="0">
      <alignment horizontal="center"/>
      <protection locked="0"/>
    </xf>
    <xf numFmtId="169" fontId="76" fillId="22" borderId="4" applyNumberFormat="0" applyFont="0" applyAlignment="0" applyProtection="0">
      <alignment horizontal="center"/>
      <protection locked="0"/>
    </xf>
    <xf numFmtId="190" fontId="17" fillId="0" borderId="0" applyFill="0" applyBorder="0" applyProtection="0">
      <alignment vertical="center"/>
    </xf>
    <xf numFmtId="265" fontId="17" fillId="0" borderId="0" applyFill="0" applyBorder="0" applyProtection="0">
      <alignment vertical="center"/>
    </xf>
    <xf numFmtId="297" fontId="17" fillId="0" borderId="0" applyFill="0" applyBorder="0" applyProtection="0">
      <alignment vertical="center"/>
    </xf>
    <xf numFmtId="258" fontId="76" fillId="0" borderId="0"/>
    <xf numFmtId="209" fontId="17" fillId="0" borderId="0" applyFill="0" applyBorder="0" applyProtection="0">
      <alignment vertical="center"/>
    </xf>
    <xf numFmtId="0" fontId="17" fillId="0" borderId="0" applyFill="0" applyBorder="0">
      <alignment horizontal="right"/>
      <protection locked="0"/>
    </xf>
    <xf numFmtId="0" fontId="79" fillId="0" borderId="0" applyFill="0" applyBorder="0">
      <alignment horizontal="right"/>
      <protection locked="0"/>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98" fontId="79" fillId="0" borderId="0" applyFill="0" applyBorder="0">
      <alignment horizontal="right"/>
      <protection locked="0"/>
    </xf>
    <xf numFmtId="0" fontId="56" fillId="17" borderId="34">
      <alignment horizontal="left" vertical="center" wrapText="1"/>
    </xf>
    <xf numFmtId="0" fontId="140" fillId="0" borderId="52" applyFill="0" applyProtection="0"/>
    <xf numFmtId="0" fontId="141" fillId="0" borderId="0" applyNumberFormat="0">
      <alignment horizontal="left"/>
    </xf>
    <xf numFmtId="0" fontId="142" fillId="0" borderId="0"/>
    <xf numFmtId="214" fontId="79" fillId="0" borderId="0" applyFont="0" applyFill="0" applyBorder="0" applyAlignment="0" applyProtection="0"/>
    <xf numFmtId="0" fontId="143" fillId="0" borderId="0"/>
    <xf numFmtId="38" fontId="78" fillId="0" borderId="0" applyNumberFormat="0"/>
    <xf numFmtId="6" fontId="78" fillId="0" borderId="0" applyAlignment="0">
      <alignment horizontal="left"/>
    </xf>
    <xf numFmtId="211" fontId="76" fillId="0" borderId="0" applyFill="0" applyBorder="0" applyAlignment="0" applyProtection="0"/>
    <xf numFmtId="0" fontId="79" fillId="0" borderId="0"/>
    <xf numFmtId="189" fontId="76" fillId="0" borderId="0" applyFont="0" applyFill="0" applyBorder="0" applyAlignment="0" applyProtection="0"/>
    <xf numFmtId="297" fontId="76" fillId="0" borderId="0" applyFont="0" applyFill="0" applyBorder="0" applyAlignment="0" applyProtection="0"/>
    <xf numFmtId="38" fontId="111" fillId="0" borderId="0" applyFont="0" applyFill="0" applyBorder="0" applyAlignment="0" applyProtection="0"/>
    <xf numFmtId="40" fontId="111" fillId="0" borderId="0" applyFont="0" applyFill="0" applyBorder="0" applyAlignment="0" applyProtection="0"/>
    <xf numFmtId="200" fontId="144" fillId="23" borderId="0" applyFill="0" applyBorder="0" applyAlignment="0" applyProtection="0">
      <alignment horizontal="center"/>
      <protection locked="0"/>
    </xf>
    <xf numFmtId="0" fontId="78" fillId="0" borderId="0" applyFont="0" applyFill="0" applyBorder="0" applyAlignment="0" applyProtection="0"/>
    <xf numFmtId="299" fontId="78" fillId="0" borderId="0" applyFont="0" applyFill="0" applyBorder="0" applyAlignment="0" applyProtection="0"/>
    <xf numFmtId="300" fontId="79" fillId="0" borderId="0" applyFont="0" applyFill="0" applyBorder="0" applyAlignment="0" applyProtection="0"/>
    <xf numFmtId="301" fontId="79" fillId="0" borderId="0" applyFont="0" applyFill="0" applyBorder="0" applyAlignment="0" applyProtection="0"/>
    <xf numFmtId="302" fontId="76" fillId="0" borderId="0" applyFont="0" applyFill="0" applyBorder="0" applyAlignment="0" applyProtection="0"/>
    <xf numFmtId="249" fontId="76" fillId="0" borderId="0" applyFont="0" applyFill="0" applyBorder="0" applyAlignment="0" applyProtection="0"/>
    <xf numFmtId="302" fontId="76" fillId="0" borderId="0" applyFont="0" applyFill="0" applyBorder="0" applyAlignment="0" applyProtection="0"/>
    <xf numFmtId="249" fontId="76" fillId="0" borderId="0" applyFont="0" applyFill="0" applyBorder="0" applyAlignment="0" applyProtection="0"/>
    <xf numFmtId="303" fontId="145" fillId="21" borderId="6">
      <alignment horizontal="right"/>
    </xf>
    <xf numFmtId="0" fontId="80" fillId="0" borderId="0" applyFont="0" applyFill="0" applyBorder="0" applyAlignment="0" applyProtection="0">
      <alignment horizontal="right"/>
    </xf>
    <xf numFmtId="205" fontId="134" fillId="0" borderId="0" applyFont="0" applyFill="0" applyBorder="0" applyAlignment="0" applyProtection="0"/>
    <xf numFmtId="302" fontId="79" fillId="0" borderId="0" applyFill="0" applyBorder="0" applyProtection="0">
      <alignment horizontal="right"/>
    </xf>
    <xf numFmtId="40" fontId="78" fillId="0" borderId="0" applyFill="0" applyBorder="0" applyAlignment="0" applyProtection="0">
      <alignment horizontal="left"/>
    </xf>
    <xf numFmtId="0" fontId="80" fillId="0" borderId="0" applyFill="0" applyBorder="0" applyProtection="0"/>
    <xf numFmtId="296" fontId="92" fillId="0" borderId="0"/>
    <xf numFmtId="304" fontId="80" fillId="0" borderId="0" applyFont="0" applyFill="0" applyBorder="0" applyAlignment="0" applyProtection="0">
      <alignment horizontal="right"/>
    </xf>
    <xf numFmtId="215" fontId="79" fillId="0" borderId="0"/>
    <xf numFmtId="305" fontId="102" fillId="21" borderId="0" applyNumberFormat="0">
      <alignment horizontal="right"/>
    </xf>
    <xf numFmtId="306" fontId="116" fillId="0" borderId="0">
      <alignment horizontal="right"/>
    </xf>
    <xf numFmtId="0" fontId="79" fillId="0" borderId="0"/>
    <xf numFmtId="0" fontId="6" fillId="0" borderId="0" applyNumberFormat="0" applyFill="0" applyAlignment="0" applyProtection="0"/>
    <xf numFmtId="0" fontId="102" fillId="0" borderId="0"/>
    <xf numFmtId="37" fontId="146" fillId="0" borderId="0"/>
    <xf numFmtId="0" fontId="134" fillId="0" borderId="0"/>
    <xf numFmtId="305" fontId="76" fillId="0" borderId="0" applyFont="0">
      <alignment horizontal="right"/>
    </xf>
    <xf numFmtId="295" fontId="147" fillId="0" borderId="0"/>
    <xf numFmtId="0" fontId="80" fillId="0" borderId="0" applyFill="0" applyBorder="0" applyProtection="0"/>
    <xf numFmtId="258" fontId="76" fillId="0" borderId="0"/>
    <xf numFmtId="307" fontId="76" fillId="0" borderId="0"/>
    <xf numFmtId="308" fontId="17" fillId="0" borderId="0" applyFill="0" applyBorder="0" applyProtection="0">
      <alignment vertical="center"/>
    </xf>
    <xf numFmtId="260" fontId="76" fillId="0" borderId="0"/>
    <xf numFmtId="0" fontId="134" fillId="0" borderId="0"/>
    <xf numFmtId="0" fontId="148" fillId="0" borderId="0" applyFill="0" applyBorder="0" applyAlignment="0" applyProtection="0"/>
    <xf numFmtId="41" fontId="149" fillId="0" borderId="0" applyFont="0" applyFill="0" applyBorder="0" applyAlignment="0" applyProtection="0"/>
    <xf numFmtId="309"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278" fontId="92" fillId="0" borderId="0" applyBorder="0" applyProtection="0"/>
    <xf numFmtId="0" fontId="150" fillId="0" borderId="0">
      <alignment horizontal="left" vertical="top"/>
      <protection locked="0"/>
    </xf>
    <xf numFmtId="4" fontId="72" fillId="19" borderId="0">
      <alignment horizontal="right"/>
    </xf>
    <xf numFmtId="0" fontId="151" fillId="19" borderId="0">
      <alignment horizontal="center" vertical="center"/>
    </xf>
    <xf numFmtId="0" fontId="152" fillId="19" borderId="6"/>
    <xf numFmtId="0" fontId="151" fillId="19" borderId="0" applyBorder="0">
      <alignment horizontal="centerContinuous"/>
    </xf>
    <xf numFmtId="0" fontId="153" fillId="19" borderId="0" applyBorder="0">
      <alignment horizontal="centerContinuous"/>
    </xf>
    <xf numFmtId="209" fontId="80" fillId="0" borderId="0" applyNumberFormat="0" applyFill="0" applyBorder="0" applyAlignment="0" applyProtection="0"/>
    <xf numFmtId="0" fontId="79" fillId="0" borderId="0"/>
    <xf numFmtId="37" fontId="76" fillId="0" borderId="0" applyBorder="0">
      <protection locked="0"/>
    </xf>
    <xf numFmtId="310" fontId="17" fillId="0" borderId="0"/>
    <xf numFmtId="218" fontId="76" fillId="0" borderId="0"/>
    <xf numFmtId="259" fontId="17" fillId="0" borderId="0"/>
    <xf numFmtId="217" fontId="76" fillId="0" borderId="0"/>
    <xf numFmtId="0" fontId="79" fillId="0" borderId="0"/>
    <xf numFmtId="0" fontId="79" fillId="0" borderId="0"/>
    <xf numFmtId="0" fontId="79" fillId="0" borderId="0"/>
    <xf numFmtId="0" fontId="79" fillId="0" borderId="0"/>
    <xf numFmtId="310" fontId="17" fillId="0" borderId="0"/>
    <xf numFmtId="218" fontId="76" fillId="0" borderId="0"/>
    <xf numFmtId="310" fontId="17" fillId="0" borderId="0"/>
    <xf numFmtId="218" fontId="76" fillId="0" borderId="0"/>
    <xf numFmtId="0" fontId="154" fillId="0" borderId="0" applyProtection="0">
      <alignment horizontal="left"/>
    </xf>
    <xf numFmtId="0" fontId="154" fillId="0" borderId="0" applyFill="0" applyBorder="0" applyProtection="0">
      <alignment horizontal="left"/>
    </xf>
    <xf numFmtId="0" fontId="155" fillId="0" borderId="0" applyFill="0" applyBorder="0" applyProtection="0">
      <alignment horizontal="left"/>
    </xf>
    <xf numFmtId="1" fontId="156" fillId="0" borderId="0" applyProtection="0">
      <alignment horizontal="right" vertical="center"/>
    </xf>
    <xf numFmtId="0" fontId="157" fillId="0" borderId="28">
      <alignment vertical="top"/>
    </xf>
    <xf numFmtId="0" fontId="92" fillId="0" borderId="0">
      <alignment horizontal="center"/>
    </xf>
    <xf numFmtId="0" fontId="158" fillId="0" borderId="0">
      <alignment horizontal="center"/>
    </xf>
    <xf numFmtId="40" fontId="78" fillId="0" borderId="0" applyFont="0" applyFill="0" applyBorder="0" applyAlignment="0" applyProtection="0"/>
    <xf numFmtId="211" fontId="76" fillId="0" borderId="0" applyFont="0" applyFill="0" applyBorder="0" applyAlignment="0" applyProtection="0">
      <protection locked="0"/>
    </xf>
    <xf numFmtId="14" fontId="78" fillId="0" borderId="0">
      <alignment horizontal="center" wrapText="1"/>
      <protection locked="0"/>
    </xf>
    <xf numFmtId="311" fontId="81" fillId="0" borderId="0" applyFont="0" applyFill="0" applyBorder="0" applyAlignment="0" applyProtection="0"/>
    <xf numFmtId="9" fontId="98" fillId="0" borderId="7"/>
    <xf numFmtId="9" fontId="84" fillId="0" borderId="0"/>
    <xf numFmtId="310" fontId="79" fillId="0" borderId="0" applyFont="0" applyFill="0" applyBorder="0" applyAlignment="0" applyProtection="0"/>
    <xf numFmtId="169" fontId="98" fillId="0" borderId="7"/>
    <xf numFmtId="169" fontId="84" fillId="0" borderId="0"/>
    <xf numFmtId="312" fontId="79" fillId="0" borderId="0" applyFont="0" applyFill="0" applyBorder="0" applyAlignment="0" applyProtection="0"/>
    <xf numFmtId="10" fontId="98" fillId="0" borderId="7"/>
    <xf numFmtId="10" fontId="84" fillId="0" borderId="0"/>
    <xf numFmtId="313" fontId="79" fillId="0" borderId="0" applyFont="0" applyFill="0" applyBorder="0" applyAlignment="0" applyProtection="0"/>
    <xf numFmtId="314" fontId="17" fillId="0" borderId="0" applyFont="0" applyFill="0" applyBorder="0" applyProtection="0">
      <alignment horizontal="right"/>
    </xf>
    <xf numFmtId="315" fontId="102" fillId="21" borderId="0">
      <alignment horizontal="right"/>
    </xf>
    <xf numFmtId="290" fontId="78" fillId="0" borderId="0" applyFont="0" applyFill="0" applyBorder="0" applyProtection="0">
      <alignment horizontal="right"/>
    </xf>
    <xf numFmtId="316" fontId="79" fillId="0" borderId="0" applyFill="0" applyBorder="0" applyAlignment="0" applyProtection="0"/>
    <xf numFmtId="317" fontId="112" fillId="0" borderId="0" applyFont="0" applyFill="0" applyBorder="0" applyAlignment="0" applyProtection="0"/>
    <xf numFmtId="169" fontId="113" fillId="0" borderId="0" applyFill="0" applyBorder="0" applyAlignment="0" applyProtection="0"/>
    <xf numFmtId="10" fontId="79" fillId="0" borderId="0" applyFill="0" applyBorder="0" applyAlignment="0" applyProtection="0"/>
    <xf numFmtId="209" fontId="17" fillId="0" borderId="0" applyFill="0" applyBorder="0" applyProtection="0">
      <alignment vertical="center"/>
    </xf>
    <xf numFmtId="10" fontId="33" fillId="0" borderId="0"/>
    <xf numFmtId="0" fontId="79" fillId="0" borderId="0" applyFill="0" applyBorder="0">
      <alignment horizontal="right"/>
      <protection locked="0"/>
    </xf>
    <xf numFmtId="281" fontId="80" fillId="0" borderId="0" applyFont="0" applyFill="0" applyBorder="0" applyAlignment="0" applyProtection="0"/>
    <xf numFmtId="283" fontId="102" fillId="0" borderId="0">
      <alignment horizontal="right"/>
    </xf>
    <xf numFmtId="8" fontId="78" fillId="0" borderId="0" applyFont="0" applyFill="0" applyBorder="0" applyAlignment="0" applyProtection="0"/>
    <xf numFmtId="226" fontId="78" fillId="0" borderId="0" applyFont="0" applyFill="0" applyBorder="0" applyAlignment="0" applyProtection="0">
      <protection locked="0"/>
    </xf>
    <xf numFmtId="318" fontId="98" fillId="0" borderId="7"/>
    <xf numFmtId="38" fontId="78" fillId="0" borderId="0" applyFont="0" applyFill="0" applyBorder="0" applyAlignment="0" applyProtection="0">
      <protection locked="0"/>
    </xf>
    <xf numFmtId="281" fontId="80" fillId="0" borderId="0" applyFill="0" applyBorder="0" applyAlignment="0" applyProtection="0">
      <protection locked="0"/>
    </xf>
    <xf numFmtId="226" fontId="17" fillId="0" borderId="0" applyFill="0" applyBorder="0" applyAlignment="0" applyProtection="0"/>
    <xf numFmtId="38" fontId="78" fillId="0" borderId="0" applyFont="0" applyFill="0" applyBorder="0" applyAlignment="0" applyProtection="0"/>
    <xf numFmtId="8" fontId="17" fillId="0" borderId="0" applyFont="0" applyFill="0" applyBorder="0" applyAlignment="0" applyProtection="0">
      <alignment horizontal="right"/>
    </xf>
    <xf numFmtId="225" fontId="80" fillId="0" borderId="0" applyFont="0" applyFill="0" applyBorder="0" applyAlignment="0" applyProtection="0">
      <alignment horizontal="right"/>
    </xf>
    <xf numFmtId="5" fontId="159" fillId="0" borderId="0"/>
    <xf numFmtId="0" fontId="160" fillId="18" borderId="52" applyNumberFormat="0" applyFont="0" applyAlignment="0" applyProtection="0"/>
    <xf numFmtId="189" fontId="76" fillId="18" borderId="0" applyNumberFormat="0" applyFont="0" applyBorder="0" applyAlignment="0" applyProtection="0">
      <alignment horizontal="center"/>
      <protection locked="0"/>
    </xf>
    <xf numFmtId="0" fontId="161" fillId="0" borderId="0"/>
    <xf numFmtId="0" fontId="161" fillId="0" borderId="56">
      <alignment horizontal="right"/>
    </xf>
    <xf numFmtId="0" fontId="111" fillId="0" borderId="0" applyNumberFormat="0" applyFont="0" applyFill="0" applyBorder="0" applyAlignment="0" applyProtection="0">
      <alignment horizontal="left"/>
    </xf>
    <xf numFmtId="15" fontId="111" fillId="0" borderId="0" applyFont="0" applyFill="0" applyBorder="0" applyAlignment="0" applyProtection="0"/>
    <xf numFmtId="4" fontId="111" fillId="0" borderId="0" applyFont="0" applyFill="0" applyBorder="0" applyAlignment="0" applyProtection="0"/>
    <xf numFmtId="0" fontId="95" fillId="0" borderId="12">
      <alignment horizontal="center"/>
    </xf>
    <xf numFmtId="3" fontId="111" fillId="0" borderId="0" applyFont="0" applyFill="0" applyBorder="0" applyAlignment="0" applyProtection="0"/>
    <xf numFmtId="0" fontId="111" fillId="24" borderId="0" applyNumberFormat="0" applyFont="0" applyBorder="0" applyAlignment="0" applyProtection="0"/>
    <xf numFmtId="209" fontId="148" fillId="0" borderId="0"/>
    <xf numFmtId="282" fontId="17" fillId="0" borderId="0" applyFont="0" applyFill="0" applyBorder="0" applyProtection="0">
      <alignment horizontal="right"/>
    </xf>
    <xf numFmtId="279" fontId="17" fillId="0" borderId="0" applyFont="0" applyFill="0" applyBorder="0" applyProtection="0">
      <alignment horizontal="right"/>
    </xf>
    <xf numFmtId="225" fontId="80" fillId="0" borderId="0" applyFont="0" applyFill="0" applyBorder="0" applyProtection="0">
      <alignment horizontal="right"/>
    </xf>
    <xf numFmtId="319" fontId="79" fillId="0" borderId="0">
      <alignment horizontal="right"/>
      <protection locked="0"/>
    </xf>
    <xf numFmtId="303" fontId="76" fillId="0" borderId="0" applyFill="0" applyBorder="0" applyProtection="0">
      <alignment horizontal="right"/>
    </xf>
    <xf numFmtId="0" fontId="162" fillId="25" borderId="0" applyNumberFormat="0" applyFont="0" applyBorder="0" applyAlignment="0">
      <alignment horizontal="center"/>
    </xf>
    <xf numFmtId="226" fontId="17" fillId="0" borderId="0" applyFont="0" applyFill="0" applyBorder="0" applyAlignment="0" applyProtection="0"/>
    <xf numFmtId="320" fontId="17" fillId="0" borderId="0" applyProtection="0">
      <alignment horizontal="right"/>
    </xf>
    <xf numFmtId="321" fontId="17" fillId="0" borderId="0" applyProtection="0">
      <alignment horizontal="right"/>
    </xf>
    <xf numFmtId="211" fontId="92" fillId="0" borderId="0" applyNumberFormat="0" applyFill="0" applyBorder="0" applyAlignment="0" applyProtection="0">
      <alignment horizontal="left"/>
    </xf>
    <xf numFmtId="0" fontId="163" fillId="0" borderId="0">
      <alignment horizontal="right"/>
    </xf>
    <xf numFmtId="322" fontId="6" fillId="0" borderId="0" applyProtection="0"/>
    <xf numFmtId="0" fontId="160" fillId="0" borderId="0" applyNumberFormat="0" applyFill="0" applyBorder="0"/>
    <xf numFmtId="0" fontId="125" fillId="0" borderId="72">
      <alignment vertical="center"/>
    </xf>
    <xf numFmtId="0" fontId="98" fillId="0" borderId="0" applyFill="0" applyBorder="0" applyProtection="0">
      <alignment horizontal="left"/>
    </xf>
    <xf numFmtId="0" fontId="98" fillId="20" borderId="52">
      <alignment horizontal="center" vertical="center" wrapText="1"/>
      <protection hidden="1"/>
    </xf>
    <xf numFmtId="0" fontId="79" fillId="26" borderId="0"/>
    <xf numFmtId="0" fontId="79" fillId="21" borderId="0" applyNumberFormat="0" applyFont="0" applyBorder="0" applyAlignment="0" applyProtection="0"/>
    <xf numFmtId="0" fontId="162" fillId="1" borderId="3" applyNumberFormat="0" applyFont="0" applyAlignment="0">
      <alignment horizontal="center"/>
    </xf>
    <xf numFmtId="323" fontId="17" fillId="0" borderId="0"/>
    <xf numFmtId="42" fontId="96" fillId="0" borderId="0" applyFill="0" applyBorder="0" applyAlignment="0" applyProtection="0"/>
    <xf numFmtId="0" fontId="6" fillId="0" borderId="4" applyNumberFormat="0" applyFill="0" applyAlignment="0" applyProtection="0"/>
    <xf numFmtId="8" fontId="164" fillId="0" borderId="0" applyNumberFormat="0" applyFill="0" applyBorder="0" applyAlignment="0" applyProtection="0"/>
    <xf numFmtId="0" fontId="165" fillId="0" borderId="0" applyNumberFormat="0">
      <alignment horizontal="left"/>
    </xf>
    <xf numFmtId="0" fontId="166" fillId="0" borderId="0" applyNumberFormat="0" applyFill="0" applyBorder="0" applyAlignment="0">
      <alignment horizontal="center"/>
    </xf>
    <xf numFmtId="324" fontId="167" fillId="27" borderId="0"/>
    <xf numFmtId="249" fontId="76" fillId="0" borderId="0">
      <alignment horizontal="center"/>
    </xf>
    <xf numFmtId="12" fontId="17" fillId="0" borderId="0" applyFont="0" applyFill="0" applyBorder="0" applyProtection="0">
      <alignment horizontal="right"/>
    </xf>
    <xf numFmtId="325" fontId="17" fillId="28" borderId="0" applyFont="0" applyFill="0" applyBorder="0" applyProtection="0">
      <alignment horizontal="right"/>
    </xf>
    <xf numFmtId="281" fontId="76" fillId="0" borderId="0" applyFont="0" applyFill="0" applyBorder="0" applyAlignment="0" applyProtection="0">
      <alignment horizontal="right"/>
    </xf>
    <xf numFmtId="0" fontId="17" fillId="0" borderId="0" applyFont="0" applyFill="0" applyBorder="0" applyAlignment="0" applyProtection="0">
      <alignment horizontal="left" wrapText="1"/>
    </xf>
    <xf numFmtId="306" fontId="76" fillId="0" borderId="0" applyFill="0" applyBorder="0" applyAlignment="0" applyProtection="0"/>
    <xf numFmtId="211" fontId="76" fillId="0" borderId="0" applyFill="0" applyBorder="0" applyAlignment="0" applyProtection="0">
      <alignment horizontal="left"/>
      <protection locked="0"/>
    </xf>
    <xf numFmtId="211" fontId="76" fillId="0" borderId="0" applyFill="0" applyBorder="0" applyAlignment="0" applyProtection="0"/>
    <xf numFmtId="211" fontId="76" fillId="0" borderId="0" applyFill="0" applyBorder="0" applyAlignment="0" applyProtection="0">
      <alignment horizontal="left"/>
      <protection locked="0"/>
    </xf>
    <xf numFmtId="211" fontId="76" fillId="0" borderId="0" applyFill="0" applyBorder="0" applyAlignment="0" applyProtection="0">
      <protection locked="0"/>
    </xf>
    <xf numFmtId="38" fontId="78" fillId="0" borderId="0" applyFont="0" applyFill="0" applyBorder="0" applyAlignment="0" applyProtection="0">
      <protection locked="0"/>
    </xf>
    <xf numFmtId="326" fontId="17" fillId="0" borderId="0" applyNumberFormat="0" applyFill="0" applyBorder="0" applyProtection="0">
      <alignment horizontal="centerContinuous"/>
    </xf>
    <xf numFmtId="40" fontId="168" fillId="0" borderId="0" applyBorder="0">
      <alignment horizontal="right"/>
    </xf>
    <xf numFmtId="226" fontId="17" fillId="0" borderId="0" applyFill="0" applyBorder="0" applyAlignment="0" applyProtection="0"/>
    <xf numFmtId="0" fontId="160" fillId="18" borderId="0" applyNumberFormat="0" applyFont="0" applyBorder="0" applyAlignment="0" applyProtection="0"/>
    <xf numFmtId="0" fontId="102" fillId="0" borderId="0"/>
    <xf numFmtId="256" fontId="80" fillId="0" borderId="0"/>
    <xf numFmtId="0" fontId="56" fillId="0" borderId="0" applyNumberFormat="0" applyFont="0" applyBorder="0" applyAlignment="0"/>
    <xf numFmtId="0" fontId="77" fillId="0" borderId="0" applyFill="0" applyBorder="0" applyProtection="0">
      <alignment horizontal="center" vertical="center"/>
    </xf>
    <xf numFmtId="3" fontId="169" fillId="0" borderId="0" applyFont="0" applyBorder="0" applyAlignment="0"/>
    <xf numFmtId="0" fontId="170" fillId="0" borderId="0"/>
    <xf numFmtId="0" fontId="171" fillId="0" borderId="0" applyBorder="0" applyProtection="0">
      <alignment vertical="center"/>
    </xf>
    <xf numFmtId="0" fontId="171" fillId="0" borderId="4" applyBorder="0" applyProtection="0">
      <alignment horizontal="right" vertical="center"/>
    </xf>
    <xf numFmtId="0" fontId="172" fillId="29" borderId="0" applyBorder="0" applyProtection="0">
      <alignment horizontal="centerContinuous" vertical="center"/>
    </xf>
    <xf numFmtId="0" fontId="172" fillId="30" borderId="4" applyBorder="0" applyProtection="0">
      <alignment horizontal="centerContinuous" vertical="center"/>
    </xf>
    <xf numFmtId="0" fontId="173" fillId="0" borderId="0" applyNumberFormat="0" applyFill="0" applyBorder="0" applyProtection="0">
      <alignment horizontal="left"/>
    </xf>
    <xf numFmtId="0" fontId="160" fillId="0" borderId="0" applyBorder="0" applyProtection="0">
      <alignment horizontal="left"/>
    </xf>
    <xf numFmtId="0" fontId="126" fillId="0" borderId="0" applyNumberFormat="0" applyFill="0" applyBorder="0" applyProtection="0">
      <alignment horizontal="left"/>
    </xf>
    <xf numFmtId="0" fontId="77" fillId="0" borderId="0" applyFill="0" applyBorder="0" applyProtection="0"/>
    <xf numFmtId="0" fontId="174" fillId="0" borderId="0" applyNumberFormat="0">
      <alignment horizontal="left"/>
    </xf>
    <xf numFmtId="0" fontId="134" fillId="0" borderId="0"/>
    <xf numFmtId="215" fontId="79" fillId="0" borderId="0"/>
    <xf numFmtId="0" fontId="77" fillId="0" borderId="0" applyFill="0" applyBorder="0" applyProtection="0">
      <alignment horizontal="left"/>
    </xf>
    <xf numFmtId="0" fontId="76" fillId="0" borderId="1" applyFill="0" applyBorder="0" applyProtection="0">
      <alignment horizontal="left" vertical="top"/>
    </xf>
    <xf numFmtId="0" fontId="175" fillId="0" borderId="0">
      <alignment horizontal="centerContinuous"/>
    </xf>
    <xf numFmtId="0" fontId="88" fillId="19" borderId="7" applyNumberFormat="0" applyFont="0" applyFill="0" applyAlignment="0" applyProtection="0">
      <protection locked="0"/>
    </xf>
    <xf numFmtId="215" fontId="176" fillId="0" borderId="0" applyNumberFormat="0" applyFill="0" applyBorder="0">
      <alignment horizontal="left"/>
    </xf>
    <xf numFmtId="215" fontId="176" fillId="0" borderId="0" applyNumberFormat="0" applyFill="0" applyBorder="0">
      <alignment horizontal="right"/>
    </xf>
    <xf numFmtId="215" fontId="177" fillId="0" borderId="0" applyNumberFormat="0" applyFill="0" applyBorder="0">
      <alignment horizontal="right"/>
    </xf>
    <xf numFmtId="0" fontId="178" fillId="0" borderId="0" applyFill="0" applyBorder="0" applyProtection="0">
      <alignment horizontal="center" vertical="center"/>
    </xf>
    <xf numFmtId="0" fontId="88" fillId="19" borderId="73" applyNumberFormat="0" applyFont="0" applyFill="0" applyAlignment="0" applyProtection="0">
      <protection locked="0"/>
    </xf>
    <xf numFmtId="0" fontId="179" fillId="0" borderId="0" applyFill="0" applyBorder="0" applyProtection="0">
      <alignment vertical="top"/>
    </xf>
    <xf numFmtId="0" fontId="180" fillId="0" borderId="0" applyFill="0" applyBorder="0" applyProtection="0">
      <alignment vertical="center"/>
    </xf>
    <xf numFmtId="0" fontId="93" fillId="0" borderId="0" applyFill="0" applyBorder="0" applyProtection="0"/>
    <xf numFmtId="0" fontId="76" fillId="0" borderId="0"/>
    <xf numFmtId="49" fontId="98" fillId="0" borderId="0">
      <alignment horizontal="left"/>
    </xf>
    <xf numFmtId="327" fontId="79" fillId="0" borderId="0" applyFont="0" applyFill="0" applyBorder="0" applyAlignment="0" applyProtection="0"/>
    <xf numFmtId="328" fontId="79" fillId="0" borderId="0" applyFont="0" applyFill="0" applyBorder="0" applyAlignment="0" applyProtection="0"/>
    <xf numFmtId="329" fontId="79" fillId="0" borderId="0" applyFont="0" applyFill="0" applyBorder="0" applyAlignment="0" applyProtection="0"/>
    <xf numFmtId="0" fontId="79" fillId="0" borderId="0" applyFont="0" applyFill="0" applyBorder="0" applyAlignment="0" applyProtection="0"/>
    <xf numFmtId="330" fontId="79" fillId="0" borderId="0" applyFont="0" applyFill="0" applyBorder="0" applyAlignment="0" applyProtection="0"/>
    <xf numFmtId="0" fontId="181" fillId="0" borderId="0"/>
    <xf numFmtId="0" fontId="182" fillId="0" borderId="0" applyNumberFormat="0" applyFill="0" applyBorder="0" applyProtection="0"/>
    <xf numFmtId="0" fontId="183" fillId="0" borderId="0" applyFill="0" applyBorder="0" applyProtection="0"/>
    <xf numFmtId="0" fontId="184" fillId="0" borderId="0"/>
    <xf numFmtId="0" fontId="183" fillId="0" borderId="0" applyNumberFormat="0" applyFill="0" applyBorder="0" applyProtection="0"/>
    <xf numFmtId="0" fontId="185" fillId="0" borderId="0" applyFill="0" applyBorder="0" applyProtection="0"/>
    <xf numFmtId="0" fontId="182" fillId="0" borderId="0" applyNumberFormat="0" applyFill="0" applyBorder="0" applyProtection="0"/>
    <xf numFmtId="0" fontId="182" fillId="0" borderId="0"/>
    <xf numFmtId="0" fontId="181" fillId="0" borderId="1" applyFill="0" applyBorder="0" applyProtection="0"/>
    <xf numFmtId="11" fontId="78" fillId="0" borderId="0" applyFont="0" applyFill="0" applyBorder="0" applyAlignment="0" applyProtection="0"/>
    <xf numFmtId="18" fontId="88" fillId="19" borderId="0" applyFont="0" applyFill="0" applyBorder="0" applyAlignment="0" applyProtection="0">
      <protection locked="0"/>
    </xf>
    <xf numFmtId="1" fontId="17" fillId="0" borderId="3" applyFill="0" applyBorder="0" applyProtection="0">
      <alignment horizontal="right"/>
    </xf>
    <xf numFmtId="331" fontId="79" fillId="0" borderId="0" applyFont="0" applyFill="0" applyBorder="0" applyAlignment="0" applyProtection="0"/>
    <xf numFmtId="307" fontId="79" fillId="0" borderId="0" applyFont="0" applyFill="0" applyBorder="0" applyAlignment="0" applyProtection="0"/>
    <xf numFmtId="332" fontId="98" fillId="0" borderId="7"/>
    <xf numFmtId="332" fontId="84" fillId="0" borderId="0"/>
    <xf numFmtId="333" fontId="79" fillId="0" borderId="0" applyFont="0" applyFill="0" applyBorder="0" applyAlignment="0" applyProtection="0"/>
    <xf numFmtId="334" fontId="98" fillId="0" borderId="7"/>
    <xf numFmtId="334" fontId="84" fillId="0" borderId="0"/>
    <xf numFmtId="335" fontId="79" fillId="0" borderId="0" applyFont="0" applyFill="0" applyBorder="0" applyAlignment="0" applyProtection="0"/>
    <xf numFmtId="0" fontId="79" fillId="0" borderId="0" applyNumberFormat="0" applyFill="0" applyBorder="0" applyAlignment="0" applyProtection="0"/>
    <xf numFmtId="0" fontId="8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26" fontId="17" fillId="0" borderId="0" applyFill="0" applyBorder="0" applyProtection="0"/>
    <xf numFmtId="226" fontId="17" fillId="0" borderId="74"/>
    <xf numFmtId="226" fontId="17" fillId="0" borderId="0" applyNumberFormat="0" applyFill="0" applyBorder="0" applyAlignment="0" applyProtection="0"/>
    <xf numFmtId="0" fontId="17" fillId="0" borderId="0" applyBorder="0"/>
    <xf numFmtId="0" fontId="17" fillId="0" borderId="0" applyNumberFormat="0" applyFill="0" applyBorder="0" applyAlignment="0" applyProtection="0"/>
    <xf numFmtId="0" fontId="17" fillId="0" borderId="0" applyNumberFormat="0" applyFill="0" applyBorder="0" applyAlignment="0" applyProtection="0"/>
    <xf numFmtId="38" fontId="17" fillId="0" borderId="0" applyFill="0" applyBorder="0" applyAlignment="0" applyProtection="0">
      <alignment horizontal="left"/>
    </xf>
    <xf numFmtId="0" fontId="183" fillId="0" borderId="0"/>
    <xf numFmtId="0" fontId="182" fillId="0" borderId="0"/>
    <xf numFmtId="241" fontId="6" fillId="0" borderId="62" applyNumberFormat="0" applyFill="0" applyAlignment="0" applyProtection="0"/>
    <xf numFmtId="0" fontId="186" fillId="0" borderId="0" applyFill="0" applyBorder="0" applyAlignment="0" applyProtection="0"/>
    <xf numFmtId="241" fontId="6" fillId="0" borderId="7" applyNumberFormat="0" applyFill="0" applyAlignment="0" applyProtection="0"/>
    <xf numFmtId="278" fontId="76" fillId="0" borderId="0" applyFill="0" applyBorder="0" applyProtection="0"/>
    <xf numFmtId="240" fontId="76" fillId="0" borderId="0" applyFill="0" applyBorder="0" applyProtection="0"/>
    <xf numFmtId="190" fontId="17" fillId="0" borderId="70" applyFill="0" applyBorder="0" applyProtection="0">
      <alignment vertical="center"/>
    </xf>
    <xf numFmtId="40" fontId="78" fillId="0" borderId="0" applyFont="0" applyFill="0" applyBorder="0" applyAlignment="0" applyProtection="0">
      <protection locked="0"/>
    </xf>
    <xf numFmtId="266" fontId="17" fillId="0" borderId="0">
      <alignment horizontal="left"/>
      <protection locked="0"/>
    </xf>
    <xf numFmtId="0" fontId="187" fillId="0" borderId="0">
      <alignment horizontal="fill"/>
    </xf>
    <xf numFmtId="336" fontId="17" fillId="0" borderId="0"/>
    <xf numFmtId="6" fontId="78" fillId="0" borderId="0" applyFont="0" applyFill="0" applyBorder="0" applyAlignment="0" applyProtection="0">
      <protection locked="0"/>
    </xf>
    <xf numFmtId="225" fontId="80" fillId="0" borderId="0" applyFill="0" applyBorder="0" applyAlignment="0" applyProtection="0"/>
    <xf numFmtId="0" fontId="188" fillId="0" borderId="0" applyNumberFormat="0"/>
    <xf numFmtId="0" fontId="17" fillId="0" borderId="0"/>
    <xf numFmtId="0" fontId="88" fillId="0" borderId="0"/>
    <xf numFmtId="38" fontId="78" fillId="0" borderId="0" applyFill="0" applyBorder="0" applyAlignment="0" applyProtection="0"/>
    <xf numFmtId="38" fontId="17" fillId="0" borderId="0" applyFill="0" applyBorder="0" applyAlignment="0" applyProtection="0">
      <alignment horizontal="left"/>
    </xf>
    <xf numFmtId="44" fontId="17" fillId="0" borderId="0" applyFont="0" applyFill="0" applyBorder="0" applyAlignment="0" applyProtection="0"/>
    <xf numFmtId="0" fontId="189" fillId="0" borderId="3"/>
    <xf numFmtId="326" fontId="88" fillId="0" borderId="0"/>
    <xf numFmtId="0" fontId="160" fillId="19" borderId="0" applyNumberFormat="0" applyFont="0" applyAlignment="0" applyProtection="0"/>
    <xf numFmtId="0" fontId="160" fillId="19" borderId="7" applyNumberFormat="0" applyFont="0" applyAlignment="0" applyProtection="0">
      <protection locked="0"/>
    </xf>
    <xf numFmtId="0" fontId="190" fillId="0" borderId="0" applyNumberFormat="0" applyFill="0" applyBorder="0" applyAlignment="0" applyProtection="0"/>
    <xf numFmtId="1" fontId="78" fillId="0" borderId="0" applyFont="0" applyFill="0" applyBorder="0" applyAlignment="0" applyProtection="0"/>
    <xf numFmtId="297" fontId="191" fillId="18" borderId="0">
      <alignment horizontal="center"/>
    </xf>
    <xf numFmtId="337" fontId="84" fillId="0" borderId="0">
      <alignment horizontal="centerContinuous"/>
    </xf>
    <xf numFmtId="1" fontId="192" fillId="0" borderId="0">
      <alignment horizontal="right"/>
    </xf>
    <xf numFmtId="336" fontId="17" fillId="0" borderId="0">
      <alignment horizontal="right"/>
    </xf>
    <xf numFmtId="0" fontId="79" fillId="0" borderId="0" applyFont="0" applyFill="0" applyBorder="0" applyAlignment="0" applyProtection="0">
      <alignment horizontal="right"/>
    </xf>
    <xf numFmtId="0" fontId="79" fillId="0" borderId="0" applyFont="0" applyFill="0" applyBorder="0" applyAlignment="0" applyProtection="0"/>
    <xf numFmtId="207" fontId="17" fillId="0" borderId="0"/>
    <xf numFmtId="338" fontId="79" fillId="0" borderId="0" applyFont="0" applyFill="0" applyBorder="0" applyAlignment="0" applyProtection="0">
      <alignment horizontal="right"/>
    </xf>
    <xf numFmtId="338" fontId="79" fillId="0" borderId="0" applyFont="0" applyFill="0" applyBorder="0" applyAlignment="0" applyProtection="0">
      <alignment horizontal="right"/>
    </xf>
    <xf numFmtId="164" fontId="80" fillId="0" borderId="4" applyBorder="0" applyProtection="0">
      <alignment horizontal="right"/>
    </xf>
    <xf numFmtId="280" fontId="78" fillId="0" borderId="52" applyFont="0" applyFill="0" applyBorder="0" applyAlignment="0" applyProtection="0"/>
    <xf numFmtId="339" fontId="96" fillId="0" borderId="0" applyFont="0" applyFill="0" applyBorder="0" applyAlignment="0" applyProtection="0"/>
    <xf numFmtId="248" fontId="149" fillId="0" borderId="0">
      <alignment horizontal="right"/>
    </xf>
    <xf numFmtId="40" fontId="193" fillId="0" borderId="0" applyFont="0" applyFill="0" applyBorder="0" applyAlignment="0" applyProtection="0"/>
    <xf numFmtId="38" fontId="193" fillId="0" borderId="0" applyFont="0" applyFill="0" applyBorder="0" applyAlignment="0" applyProtection="0"/>
    <xf numFmtId="0" fontId="193" fillId="0" borderId="0"/>
    <xf numFmtId="43" fontId="4" fillId="0" borderId="0" applyFont="0" applyFill="0" applyBorder="0" applyAlignment="0" applyProtection="0"/>
    <xf numFmtId="44"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17" fillId="0" borderId="0" applyFont="0" applyFill="0" applyBorder="0" applyAlignment="0" applyProtection="0"/>
    <xf numFmtId="44" fontId="5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9"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43" fontId="52" fillId="0" borderId="0" applyFont="0" applyFill="0" applyBorder="0" applyAlignment="0" applyProtection="0"/>
  </cellStyleXfs>
  <cellXfs count="1203">
    <xf numFmtId="0" fontId="0" fillId="0" borderId="0" xfId="0"/>
    <xf numFmtId="164" fontId="0" fillId="0" borderId="0" xfId="1" applyNumberFormat="1" applyFont="1"/>
    <xf numFmtId="164" fontId="0" fillId="3" borderId="0" xfId="1" applyNumberFormat="1" applyFont="1" applyFill="1"/>
    <xf numFmtId="0" fontId="5" fillId="0" borderId="0" xfId="0" applyFont="1"/>
    <xf numFmtId="164" fontId="0" fillId="0" borderId="0" xfId="1" applyNumberFormat="1" applyFont="1" applyAlignment="1">
      <alignment horizontal="center"/>
    </xf>
    <xf numFmtId="0" fontId="0" fillId="3" borderId="0" xfId="0" applyFill="1" applyAlignment="1">
      <alignment horizontal="center"/>
    </xf>
    <xf numFmtId="0" fontId="0" fillId="0" borderId="0" xfId="0" applyAlignment="1">
      <alignment horizontal="center"/>
    </xf>
    <xf numFmtId="164" fontId="0" fillId="3" borderId="1" xfId="1" applyNumberFormat="1" applyFont="1" applyFill="1" applyBorder="1"/>
    <xf numFmtId="164" fontId="0" fillId="0" borderId="1" xfId="1" applyNumberFormat="1" applyFont="1" applyBorder="1"/>
    <xf numFmtId="0" fontId="18" fillId="0" borderId="0" xfId="0" applyFont="1"/>
    <xf numFmtId="0" fontId="18" fillId="0" borderId="4" xfId="0" applyFont="1" applyBorder="1"/>
    <xf numFmtId="164" fontId="0" fillId="0" borderId="0" xfId="68" applyNumberFormat="1" applyFont="1"/>
    <xf numFmtId="0" fontId="18" fillId="0" borderId="7" xfId="0" applyFont="1" applyBorder="1"/>
    <xf numFmtId="164" fontId="18" fillId="0" borderId="0" xfId="68" applyNumberFormat="1" applyFont="1" applyBorder="1"/>
    <xf numFmtId="164" fontId="0" fillId="0" borderId="0" xfId="68" applyNumberFormat="1" applyFont="1" applyBorder="1"/>
    <xf numFmtId="164" fontId="18" fillId="0" borderId="0" xfId="68" applyNumberFormat="1" applyFont="1"/>
    <xf numFmtId="10" fontId="0" fillId="0" borderId="0" xfId="64" applyNumberFormat="1" applyFont="1"/>
    <xf numFmtId="43" fontId="18" fillId="0" borderId="0" xfId="68" applyFont="1"/>
    <xf numFmtId="0" fontId="5" fillId="0" borderId="0" xfId="0" applyFont="1" applyAlignment="1">
      <alignment horizontal="center"/>
    </xf>
    <xf numFmtId="0" fontId="5" fillId="0" borderId="0" xfId="0" applyFont="1" applyAlignment="1">
      <alignment horizontal="center" vertical="center"/>
    </xf>
    <xf numFmtId="0" fontId="5" fillId="5" borderId="0" xfId="0" applyFont="1" applyFill="1" applyAlignment="1">
      <alignment horizontal="center"/>
    </xf>
    <xf numFmtId="0" fontId="5" fillId="0" borderId="0" xfId="0" applyFont="1" applyAlignment="1">
      <alignment horizontal="right"/>
    </xf>
    <xf numFmtId="187" fontId="0" fillId="0" borderId="0" xfId="3" applyNumberFormat="1" applyFont="1"/>
    <xf numFmtId="9" fontId="0" fillId="0" borderId="0" xfId="64" applyFont="1"/>
    <xf numFmtId="180" fontId="0" fillId="0" borderId="0" xfId="3" applyNumberFormat="1" applyFont="1"/>
    <xf numFmtId="188" fontId="0" fillId="0" borderId="0" xfId="3" applyNumberFormat="1" applyFont="1"/>
    <xf numFmtId="164" fontId="0" fillId="0" borderId="4" xfId="69" applyNumberFormat="1" applyFont="1" applyBorder="1"/>
    <xf numFmtId="164" fontId="0" fillId="0" borderId="0" xfId="69" applyNumberFormat="1" applyFont="1"/>
    <xf numFmtId="169" fontId="0" fillId="0" borderId="0" xfId="64" applyNumberFormat="1" applyFont="1"/>
    <xf numFmtId="164" fontId="0" fillId="0" borderId="3" xfId="69" applyNumberFormat="1" applyFont="1" applyBorder="1"/>
    <xf numFmtId="178" fontId="0" fillId="0" borderId="0" xfId="69" applyNumberFormat="1" applyFont="1"/>
    <xf numFmtId="189" fontId="5" fillId="0" borderId="0" xfId="0" applyNumberFormat="1" applyFont="1" applyAlignment="1">
      <alignment horizontal="right"/>
    </xf>
    <xf numFmtId="180" fontId="0" fillId="0" borderId="8" xfId="3" applyNumberFormat="1" applyFont="1" applyBorder="1"/>
    <xf numFmtId="0" fontId="5" fillId="0" borderId="7" xfId="0" applyFont="1" applyBorder="1" applyAlignment="1">
      <alignment horizontal="center"/>
    </xf>
    <xf numFmtId="178" fontId="0" fillId="0" borderId="7" xfId="69" applyNumberFormat="1" applyFont="1" applyBorder="1"/>
    <xf numFmtId="188" fontId="0" fillId="0" borderId="0" xfId="69" applyNumberFormat="1" applyFont="1"/>
    <xf numFmtId="44" fontId="0" fillId="0" borderId="54" xfId="3" applyFont="1" applyBorder="1"/>
    <xf numFmtId="0" fontId="5" fillId="0" borderId="4" xfId="0" applyFont="1" applyBorder="1" applyAlignment="1">
      <alignment horizontal="center"/>
    </xf>
    <xf numFmtId="188" fontId="0" fillId="0" borderId="4" xfId="69" applyNumberFormat="1" applyFont="1" applyBorder="1"/>
    <xf numFmtId="0" fontId="20" fillId="0" borderId="0" xfId="0" applyFont="1"/>
    <xf numFmtId="164" fontId="0" fillId="0" borderId="54" xfId="69" applyNumberFormat="1" applyFont="1" applyBorder="1"/>
    <xf numFmtId="164" fontId="0" fillId="0" borderId="0" xfId="69" applyNumberFormat="1" applyFont="1" applyFill="1"/>
    <xf numFmtId="187" fontId="5" fillId="0" borderId="0" xfId="0" applyNumberFormat="1" applyFont="1"/>
    <xf numFmtId="9" fontId="5" fillId="0" borderId="0" xfId="64" applyFont="1"/>
    <xf numFmtId="180" fontId="0" fillId="0" borderId="0" xfId="3" applyNumberFormat="1" applyFont="1" applyFill="1"/>
    <xf numFmtId="177" fontId="0" fillId="0" borderId="0" xfId="64" applyNumberFormat="1" applyFont="1"/>
    <xf numFmtId="44" fontId="0" fillId="0" borderId="0" xfId="3" applyFont="1"/>
    <xf numFmtId="43" fontId="0" fillId="0" borderId="0" xfId="69" applyFont="1"/>
    <xf numFmtId="44" fontId="0" fillId="0" borderId="8" xfId="3" applyFont="1" applyBorder="1"/>
    <xf numFmtId="164" fontId="0" fillId="0" borderId="0" xfId="69" applyNumberFormat="1" applyFont="1" applyBorder="1"/>
    <xf numFmtId="164" fontId="0" fillId="0" borderId="3" xfId="69" applyNumberFormat="1" applyFont="1" applyFill="1" applyBorder="1"/>
    <xf numFmtId="180" fontId="0" fillId="0" borderId="54" xfId="3" applyNumberFormat="1" applyFont="1" applyBorder="1"/>
    <xf numFmtId="0" fontId="5" fillId="7" borderId="0" xfId="0" applyFont="1" applyFill="1" applyAlignment="1">
      <alignment horizontal="left"/>
    </xf>
    <xf numFmtId="180" fontId="0" fillId="0" borderId="55" xfId="3" applyNumberFormat="1" applyFont="1" applyBorder="1"/>
    <xf numFmtId="43" fontId="0" fillId="0" borderId="0" xfId="64" applyNumberFormat="1" applyFont="1" applyAlignment="1">
      <alignment horizontal="right"/>
    </xf>
    <xf numFmtId="178" fontId="0" fillId="0" borderId="0" xfId="69" applyNumberFormat="1" applyFont="1" applyAlignment="1">
      <alignment horizontal="right"/>
    </xf>
    <xf numFmtId="187" fontId="0" fillId="0" borderId="0" xfId="64" applyNumberFormat="1" applyFont="1" applyAlignment="1">
      <alignment horizontal="right"/>
    </xf>
    <xf numFmtId="187" fontId="0" fillId="0" borderId="0" xfId="69" applyNumberFormat="1" applyFont="1"/>
    <xf numFmtId="0" fontId="19" fillId="10" borderId="0" xfId="0" applyFont="1" applyFill="1"/>
    <xf numFmtId="0" fontId="0" fillId="3" borderId="0" xfId="0" applyFill="1"/>
    <xf numFmtId="0" fontId="0" fillId="0" borderId="4" xfId="0" applyBorder="1"/>
    <xf numFmtId="164" fontId="0" fillId="0" borderId="0" xfId="1" quotePrefix="1" applyNumberFormat="1" applyFont="1" applyAlignment="1">
      <alignment horizontal="center"/>
    </xf>
    <xf numFmtId="164" fontId="0" fillId="0" borderId="1" xfId="1" quotePrefix="1" applyNumberFormat="1" applyFont="1" applyBorder="1" applyAlignment="1">
      <alignment horizontal="center"/>
    </xf>
    <xf numFmtId="0" fontId="0" fillId="3" borderId="0" xfId="0" quotePrefix="1" applyFill="1"/>
    <xf numFmtId="0" fontId="0" fillId="0" borderId="0" xfId="0" applyAlignment="1">
      <alignment horizontal="right"/>
    </xf>
    <xf numFmtId="0" fontId="0" fillId="0" borderId="0" xfId="0" quotePrefix="1" applyAlignment="1">
      <alignment wrapText="1"/>
    </xf>
    <xf numFmtId="0" fontId="0" fillId="10" borderId="0" xfId="0" applyFill="1"/>
    <xf numFmtId="0" fontId="0" fillId="0" borderId="0" xfId="0" applyAlignment="1">
      <alignment wrapText="1"/>
    </xf>
    <xf numFmtId="164" fontId="0" fillId="0" borderId="0" xfId="0" applyNumberFormat="1"/>
    <xf numFmtId="0" fontId="0" fillId="0" borderId="0" xfId="0" applyAlignment="1">
      <alignment horizontal="left" indent="1"/>
    </xf>
    <xf numFmtId="0" fontId="0" fillId="0" borderId="0" xfId="0" applyAlignment="1">
      <alignment horizontal="left" indent="2"/>
    </xf>
    <xf numFmtId="188" fontId="0" fillId="0" borderId="0" xfId="0" applyNumberFormat="1"/>
    <xf numFmtId="187" fontId="0" fillId="0" borderId="0" xfId="0" applyNumberFormat="1"/>
    <xf numFmtId="189" fontId="0" fillId="0" borderId="8" xfId="0" applyNumberFormat="1" applyBorder="1"/>
    <xf numFmtId="189" fontId="0" fillId="0" borderId="0" xfId="0" applyNumberFormat="1"/>
    <xf numFmtId="0" fontId="0" fillId="0" borderId="0" xfId="0" applyAlignment="1">
      <alignment horizontal="left" indent="3"/>
    </xf>
    <xf numFmtId="0" fontId="0" fillId="0" borderId="0" xfId="0" applyAlignment="1">
      <alignment horizontal="left" indent="4"/>
    </xf>
    <xf numFmtId="0" fontId="0" fillId="0" borderId="0" xfId="0" applyAlignment="1">
      <alignment horizontal="left" wrapText="1" indent="1"/>
    </xf>
    <xf numFmtId="0" fontId="0" fillId="0" borderId="7" xfId="0" applyBorder="1"/>
    <xf numFmtId="189" fontId="0" fillId="0" borderId="54" xfId="0" applyNumberFormat="1" applyBorder="1"/>
    <xf numFmtId="190" fontId="0" fillId="0" borderId="0" xfId="0" applyNumberFormat="1"/>
    <xf numFmtId="164" fontId="0" fillId="0" borderId="4" xfId="0" applyNumberFormat="1" applyBorder="1"/>
    <xf numFmtId="180" fontId="0" fillId="0" borderId="8" xfId="0" applyNumberFormat="1" applyBorder="1"/>
    <xf numFmtId="0" fontId="0" fillId="0" borderId="0" xfId="0" applyAlignment="1">
      <alignment horizontal="left" wrapText="1"/>
    </xf>
    <xf numFmtId="180" fontId="0" fillId="0" borderId="0" xfId="0" applyNumberFormat="1"/>
    <xf numFmtId="0" fontId="0" fillId="7" borderId="0" xfId="0" applyFill="1"/>
    <xf numFmtId="0" fontId="22" fillId="0" borderId="0" xfId="0" applyFont="1" applyAlignment="1">
      <alignment horizontal="left"/>
    </xf>
    <xf numFmtId="17" fontId="21" fillId="0" borderId="52" xfId="0" quotePrefix="1" applyNumberFormat="1" applyFont="1" applyBorder="1" applyAlignment="1">
      <alignment horizontal="center" wrapText="1"/>
    </xf>
    <xf numFmtId="185" fontId="0" fillId="0" borderId="0" xfId="0" applyNumberFormat="1"/>
    <xf numFmtId="178" fontId="23" fillId="0" borderId="0" xfId="68" applyNumberFormat="1" applyFont="1" applyFill="1"/>
    <xf numFmtId="43" fontId="0" fillId="0" borderId="0" xfId="0" applyNumberFormat="1"/>
    <xf numFmtId="0" fontId="16" fillId="0" borderId="0" xfId="0" applyFont="1"/>
    <xf numFmtId="0" fontId="16" fillId="0" borderId="0" xfId="0" applyFont="1" applyAlignment="1">
      <alignment horizontal="left"/>
    </xf>
    <xf numFmtId="0" fontId="0" fillId="3" borderId="4" xfId="0" applyFill="1" applyBorder="1"/>
    <xf numFmtId="0" fontId="21" fillId="0" borderId="0" xfId="0" applyFont="1"/>
    <xf numFmtId="0" fontId="0" fillId="13" borderId="0" xfId="0" applyFill="1"/>
    <xf numFmtId="10" fontId="0" fillId="13" borderId="0" xfId="4" applyNumberFormat="1" applyFont="1" applyFill="1"/>
    <xf numFmtId="0" fontId="0" fillId="14" borderId="0" xfId="0" applyFill="1"/>
    <xf numFmtId="43" fontId="0" fillId="14" borderId="0" xfId="0" applyNumberFormat="1" applyFill="1"/>
    <xf numFmtId="0" fontId="0" fillId="11" borderId="0" xfId="0" applyFill="1" applyAlignment="1">
      <alignment horizontal="left" indent="4"/>
    </xf>
    <xf numFmtId="180" fontId="0" fillId="11" borderId="0" xfId="3" applyNumberFormat="1" applyFont="1" applyFill="1" applyBorder="1"/>
    <xf numFmtId="0" fontId="0" fillId="11" borderId="0" xfId="0" applyFill="1" applyAlignment="1">
      <alignment horizontal="left" indent="2"/>
    </xf>
    <xf numFmtId="164" fontId="0" fillId="11" borderId="0" xfId="69" applyNumberFormat="1" applyFont="1" applyFill="1"/>
    <xf numFmtId="17" fontId="0" fillId="3" borderId="0" xfId="0" applyNumberFormat="1" applyFill="1" applyAlignment="1">
      <alignment vertical="center"/>
    </xf>
    <xf numFmtId="0" fontId="0" fillId="3" borderId="0" xfId="0" applyFill="1" applyAlignment="1">
      <alignment vertical="center"/>
    </xf>
    <xf numFmtId="17" fontId="0" fillId="0" borderId="0" xfId="0" applyNumberFormat="1"/>
    <xf numFmtId="0" fontId="0" fillId="3" borderId="7" xfId="0" applyFill="1" applyBorder="1"/>
    <xf numFmtId="0" fontId="5" fillId="3" borderId="7" xfId="0" applyFont="1" applyFill="1" applyBorder="1"/>
    <xf numFmtId="164" fontId="0" fillId="3" borderId="0" xfId="1" applyNumberFormat="1" applyFont="1" applyFill="1" applyAlignment="1">
      <alignment horizontal="center"/>
    </xf>
    <xf numFmtId="0" fontId="0" fillId="0" borderId="7" xfId="0" applyBorder="1" applyAlignment="1">
      <alignment horizontal="center"/>
    </xf>
    <xf numFmtId="164" fontId="21" fillId="0" borderId="4" xfId="1" quotePrefix="1" applyNumberFormat="1" applyFont="1" applyBorder="1" applyAlignment="1">
      <alignment horizontal="center" wrapText="1"/>
    </xf>
    <xf numFmtId="164" fontId="21" fillId="0" borderId="11" xfId="1" quotePrefix="1" applyNumberFormat="1" applyFont="1" applyBorder="1" applyAlignment="1">
      <alignment horizontal="center" wrapText="1"/>
    </xf>
    <xf numFmtId="164" fontId="0" fillId="0" borderId="7" xfId="1" applyNumberFormat="1" applyFont="1" applyBorder="1"/>
    <xf numFmtId="164" fontId="0" fillId="0" borderId="10" xfId="1" applyNumberFormat="1" applyFont="1" applyBorder="1"/>
    <xf numFmtId="0" fontId="0" fillId="0" borderId="0" xfId="0" quotePrefix="1" applyAlignment="1">
      <alignment horizontal="left"/>
    </xf>
    <xf numFmtId="0" fontId="0" fillId="0" borderId="0" xfId="0" applyAlignment="1">
      <alignment horizontal="left"/>
    </xf>
    <xf numFmtId="0" fontId="21" fillId="0" borderId="7" xfId="0" applyFont="1" applyBorder="1"/>
    <xf numFmtId="0" fontId="24" fillId="0" borderId="7" xfId="0" applyFont="1" applyBorder="1"/>
    <xf numFmtId="164" fontId="25" fillId="8" borderId="0" xfId="68" applyNumberFormat="1" applyFont="1" applyFill="1"/>
    <xf numFmtId="0" fontId="24" fillId="0" borderId="0" xfId="0" applyFont="1"/>
    <xf numFmtId="164" fontId="16" fillId="0" borderId="0" xfId="68" applyNumberFormat="1" applyFont="1" applyFill="1"/>
    <xf numFmtId="0" fontId="21" fillId="0" borderId="7" xfId="0" quotePrefix="1" applyFont="1" applyBorder="1" applyAlignment="1">
      <alignment horizontal="left"/>
    </xf>
    <xf numFmtId="0" fontId="21" fillId="0" borderId="0" xfId="0" quotePrefix="1" applyFont="1" applyAlignment="1">
      <alignment horizontal="left"/>
    </xf>
    <xf numFmtId="164" fontId="25" fillId="8" borderId="3" xfId="68" applyNumberFormat="1" applyFont="1" applyFill="1" applyBorder="1"/>
    <xf numFmtId="164" fontId="18" fillId="0" borderId="0" xfId="68" applyNumberFormat="1" applyFont="1" applyFill="1" applyBorder="1"/>
    <xf numFmtId="164" fontId="16" fillId="0" borderId="0" xfId="68" applyNumberFormat="1" applyFont="1"/>
    <xf numFmtId="178" fontId="16" fillId="0" borderId="0" xfId="68" applyNumberFormat="1" applyFont="1" applyFill="1"/>
    <xf numFmtId="178" fontId="25" fillId="8" borderId="0" xfId="68" applyNumberFormat="1" applyFont="1" applyFill="1"/>
    <xf numFmtId="178" fontId="16" fillId="0" borderId="4" xfId="68" applyNumberFormat="1" applyFont="1" applyBorder="1"/>
    <xf numFmtId="164" fontId="25" fillId="8" borderId="8" xfId="68" applyNumberFormat="1" applyFont="1" applyFill="1" applyBorder="1"/>
    <xf numFmtId="164" fontId="16" fillId="0" borderId="8" xfId="68" applyNumberFormat="1" applyFont="1" applyBorder="1"/>
    <xf numFmtId="0" fontId="21" fillId="0" borderId="7" xfId="0" applyFont="1" applyBorder="1" applyAlignment="1">
      <alignment horizontal="left"/>
    </xf>
    <xf numFmtId="184" fontId="18" fillId="0" borderId="0" xfId="68" applyNumberFormat="1" applyFont="1"/>
    <xf numFmtId="178" fontId="16" fillId="0" borderId="7" xfId="68" applyNumberFormat="1" applyFont="1" applyFill="1" applyBorder="1"/>
    <xf numFmtId="178" fontId="16" fillId="0" borderId="8" xfId="68" applyNumberFormat="1" applyFont="1" applyFill="1" applyBorder="1"/>
    <xf numFmtId="164" fontId="16" fillId="0" borderId="7" xfId="68" applyNumberFormat="1" applyFont="1" applyFill="1" applyBorder="1"/>
    <xf numFmtId="164" fontId="16" fillId="0" borderId="8" xfId="68" applyNumberFormat="1" applyFont="1" applyFill="1" applyBorder="1"/>
    <xf numFmtId="164" fontId="25" fillId="8" borderId="0" xfId="69" applyNumberFormat="1" applyFont="1" applyFill="1"/>
    <xf numFmtId="178" fontId="25" fillId="0" borderId="0" xfId="68" applyNumberFormat="1" applyFont="1" applyFill="1"/>
    <xf numFmtId="164" fontId="25" fillId="4" borderId="0" xfId="68" applyNumberFormat="1" applyFont="1" applyFill="1"/>
    <xf numFmtId="0" fontId="0" fillId="0" borderId="4" xfId="0" applyBorder="1" applyAlignment="1">
      <alignment horizontal="center"/>
    </xf>
    <xf numFmtId="164" fontId="0" fillId="0" borderId="4" xfId="1" applyNumberFormat="1" applyFont="1" applyBorder="1"/>
    <xf numFmtId="164" fontId="0" fillId="0" borderId="11" xfId="1" applyNumberFormat="1" applyFont="1" applyBorder="1"/>
    <xf numFmtId="164" fontId="0" fillId="0" borderId="1" xfId="1" applyNumberFormat="1" applyFont="1" applyBorder="1" applyAlignment="1">
      <alignment horizontal="center"/>
    </xf>
    <xf numFmtId="0" fontId="26" fillId="0" borderId="0" xfId="0" applyFont="1" applyAlignment="1">
      <alignment vertical="center"/>
    </xf>
    <xf numFmtId="0" fontId="26" fillId="3" borderId="0" xfId="0" applyFont="1" applyFill="1"/>
    <xf numFmtId="0" fontId="26" fillId="0" borderId="0" xfId="0" applyFont="1"/>
    <xf numFmtId="0" fontId="31" fillId="0" borderId="0" xfId="0" applyFont="1"/>
    <xf numFmtId="0" fontId="30" fillId="0" borderId="0" xfId="0" applyFont="1" applyAlignment="1">
      <alignment horizontal="center"/>
    </xf>
    <xf numFmtId="17" fontId="30" fillId="0" borderId="1" xfId="0" quotePrefix="1" applyNumberFormat="1" applyFont="1" applyBorder="1" applyAlignment="1">
      <alignment horizontal="center" wrapText="1"/>
    </xf>
    <xf numFmtId="17" fontId="30" fillId="0" borderId="0" xfId="0" quotePrefix="1" applyNumberFormat="1" applyFont="1" applyAlignment="1">
      <alignment horizontal="center" wrapText="1"/>
    </xf>
    <xf numFmtId="0" fontId="32" fillId="0" borderId="0" xfId="0" applyFont="1" applyAlignment="1">
      <alignment horizontal="center"/>
    </xf>
    <xf numFmtId="0" fontId="32" fillId="0" borderId="1" xfId="0" applyFont="1" applyBorder="1" applyAlignment="1">
      <alignment horizontal="center"/>
    </xf>
    <xf numFmtId="165" fontId="33" fillId="0" borderId="0" xfId="2" applyFont="1" applyFill="1" applyBorder="1"/>
    <xf numFmtId="165" fontId="33" fillId="0" borderId="1" xfId="2" applyFont="1" applyFill="1" applyBorder="1"/>
    <xf numFmtId="170" fontId="33" fillId="0" borderId="0" xfId="2" applyNumberFormat="1" applyFont="1" applyFill="1" applyBorder="1"/>
    <xf numFmtId="170" fontId="33" fillId="0" borderId="1" xfId="2" applyNumberFormat="1" applyFont="1" applyFill="1" applyBorder="1"/>
    <xf numFmtId="186" fontId="33" fillId="0" borderId="0" xfId="2" applyNumberFormat="1" applyFont="1" applyFill="1" applyBorder="1"/>
    <xf numFmtId="186" fontId="33" fillId="0" borderId="1" xfId="2" applyNumberFormat="1" applyFont="1" applyFill="1" applyBorder="1"/>
    <xf numFmtId="0" fontId="31" fillId="0" borderId="1" xfId="0" applyFont="1" applyBorder="1"/>
    <xf numFmtId="0" fontId="26" fillId="0" borderId="4" xfId="0" applyFont="1" applyBorder="1"/>
    <xf numFmtId="17" fontId="30" fillId="0" borderId="4" xfId="0" quotePrefix="1" applyNumberFormat="1" applyFont="1" applyBorder="1" applyAlignment="1">
      <alignment horizontal="center" wrapText="1"/>
    </xf>
    <xf numFmtId="17" fontId="30" fillId="0" borderId="11" xfId="0" quotePrefix="1" applyNumberFormat="1" applyFont="1" applyBorder="1" applyAlignment="1">
      <alignment horizontal="center" wrapText="1"/>
    </xf>
    <xf numFmtId="0" fontId="31" fillId="0" borderId="0" xfId="60" applyFont="1"/>
    <xf numFmtId="0" fontId="31" fillId="0" borderId="29" xfId="60" applyFont="1" applyBorder="1"/>
    <xf numFmtId="0" fontId="33" fillId="0" borderId="0" xfId="60" applyFont="1"/>
    <xf numFmtId="172" fontId="33" fillId="0" borderId="0" xfId="2" applyNumberFormat="1" applyFont="1" applyFill="1" applyBorder="1" applyAlignment="1">
      <alignment horizontal="right"/>
    </xf>
    <xf numFmtId="0" fontId="31" fillId="0" borderId="0" xfId="66" applyFont="1"/>
    <xf numFmtId="0" fontId="30" fillId="0" borderId="0" xfId="60" applyFont="1"/>
    <xf numFmtId="41" fontId="30" fillId="0" borderId="0" xfId="60" applyNumberFormat="1" applyFont="1"/>
    <xf numFmtId="182" fontId="33" fillId="0" borderId="0" xfId="64" applyNumberFormat="1" applyFont="1" applyFill="1" applyBorder="1"/>
    <xf numFmtId="182" fontId="33" fillId="0" borderId="29" xfId="64" applyNumberFormat="1" applyFont="1" applyFill="1" applyBorder="1"/>
    <xf numFmtId="182" fontId="34" fillId="0" borderId="0" xfId="64" applyNumberFormat="1" applyFont="1" applyFill="1" applyBorder="1"/>
    <xf numFmtId="165" fontId="33" fillId="0" borderId="0" xfId="2" applyFont="1" applyFill="1" applyBorder="1" applyAlignment="1">
      <alignment horizontal="center"/>
    </xf>
    <xf numFmtId="164" fontId="37" fillId="0" borderId="0" xfId="1" applyNumberFormat="1" applyFont="1" applyFill="1" applyBorder="1"/>
    <xf numFmtId="165" fontId="33" fillId="0" borderId="0" xfId="2" applyFont="1" applyFill="1" applyBorder="1" applyAlignment="1">
      <alignment horizontal="right"/>
    </xf>
    <xf numFmtId="0" fontId="38" fillId="0" borderId="0" xfId="60" applyFont="1"/>
    <xf numFmtId="0" fontId="35" fillId="0" borderId="0" xfId="60" applyFont="1" applyAlignment="1">
      <alignment horizontal="center"/>
    </xf>
    <xf numFmtId="0" fontId="35" fillId="0" borderId="0" xfId="65" applyFont="1" applyAlignment="1">
      <alignment horizontal="center"/>
    </xf>
    <xf numFmtId="0" fontId="35" fillId="0" borderId="29" xfId="65" applyFont="1" applyBorder="1" applyAlignment="1">
      <alignment horizontal="center"/>
    </xf>
    <xf numFmtId="0" fontId="30" fillId="0" borderId="4" xfId="60" applyFont="1" applyBorder="1" applyAlignment="1">
      <alignment horizontal="center"/>
    </xf>
    <xf numFmtId="17" fontId="30" fillId="0" borderId="4" xfId="60" quotePrefix="1" applyNumberFormat="1" applyFont="1" applyBorder="1" applyAlignment="1">
      <alignment horizontal="center" wrapText="1"/>
    </xf>
    <xf numFmtId="17" fontId="30" fillId="0" borderId="11" xfId="60" quotePrefix="1" applyNumberFormat="1" applyFont="1" applyBorder="1" applyAlignment="1">
      <alignment horizontal="center" wrapText="1"/>
    </xf>
    <xf numFmtId="17" fontId="30" fillId="0" borderId="4" xfId="65" quotePrefix="1" applyNumberFormat="1" applyFont="1" applyBorder="1" applyAlignment="1">
      <alignment horizontal="center" wrapText="1"/>
    </xf>
    <xf numFmtId="17" fontId="30" fillId="0" borderId="4" xfId="60" applyNumberFormat="1" applyFont="1" applyBorder="1" applyAlignment="1">
      <alignment horizontal="center" wrapText="1"/>
    </xf>
    <xf numFmtId="0" fontId="31" fillId="0" borderId="0" xfId="65" applyFont="1"/>
    <xf numFmtId="0" fontId="31" fillId="0" borderId="29" xfId="0" applyFont="1" applyBorder="1"/>
    <xf numFmtId="183" fontId="33" fillId="0" borderId="0" xfId="64" applyNumberFormat="1" applyFont="1" applyFill="1" applyBorder="1"/>
    <xf numFmtId="0" fontId="30" fillId="0" borderId="0" xfId="0" applyFont="1"/>
    <xf numFmtId="0" fontId="31" fillId="0" borderId="0" xfId="65" applyFont="1" applyAlignment="1">
      <alignment horizontal="center"/>
    </xf>
    <xf numFmtId="165" fontId="29" fillId="0" borderId="12" xfId="2" applyFont="1" applyFill="1" applyBorder="1" applyAlignment="1">
      <alignment horizontal="center"/>
    </xf>
    <xf numFmtId="165" fontId="33" fillId="0" borderId="12" xfId="2" applyFont="1" applyFill="1" applyBorder="1"/>
    <xf numFmtId="0" fontId="30" fillId="0" borderId="12" xfId="60" applyFont="1" applyBorder="1"/>
    <xf numFmtId="0" fontId="26" fillId="0" borderId="12" xfId="0" applyFont="1" applyBorder="1" applyAlignment="1">
      <alignment vertical="center" wrapText="1"/>
    </xf>
    <xf numFmtId="0" fontId="42" fillId="0" borderId="0" xfId="60" applyFont="1"/>
    <xf numFmtId="0" fontId="40" fillId="0" borderId="0" xfId="60" applyFont="1" applyAlignment="1">
      <alignment horizontal="left"/>
    </xf>
    <xf numFmtId="164" fontId="40" fillId="0" borderId="0" xfId="1" applyNumberFormat="1" applyFont="1" applyFill="1" applyBorder="1" applyAlignment="1">
      <alignment horizontal="left"/>
    </xf>
    <xf numFmtId="0" fontId="43" fillId="0" borderId="0" xfId="60" applyFont="1" applyAlignment="1">
      <alignment horizontal="left"/>
    </xf>
    <xf numFmtId="0" fontId="40" fillId="0" borderId="0" xfId="0" applyFont="1" applyAlignment="1">
      <alignment horizontal="left"/>
    </xf>
    <xf numFmtId="164" fontId="30" fillId="0" borderId="4" xfId="1" applyNumberFormat="1" applyFont="1" applyFill="1" applyBorder="1" applyAlignment="1">
      <alignment horizontal="center" wrapText="1"/>
    </xf>
    <xf numFmtId="17" fontId="30" fillId="0" borderId="4" xfId="60" applyNumberFormat="1" applyFont="1" applyBorder="1" applyAlignment="1">
      <alignment horizontal="centerContinuous" wrapText="1"/>
    </xf>
    <xf numFmtId="164" fontId="31" fillId="0" borderId="0" xfId="1" applyNumberFormat="1" applyFont="1" applyFill="1"/>
    <xf numFmtId="164" fontId="33" fillId="0" borderId="0" xfId="1" applyNumberFormat="1" applyFont="1" applyFill="1" applyBorder="1"/>
    <xf numFmtId="164" fontId="33" fillId="0" borderId="0" xfId="1" applyNumberFormat="1" applyFont="1" applyFill="1"/>
    <xf numFmtId="169" fontId="33" fillId="0" borderId="0" xfId="64" applyNumberFormat="1" applyFont="1" applyFill="1" applyBorder="1"/>
    <xf numFmtId="164" fontId="34" fillId="0" borderId="0" xfId="1" applyNumberFormat="1" applyFont="1" applyFill="1"/>
    <xf numFmtId="165" fontId="44" fillId="0" borderId="0" xfId="2" applyFont="1" applyFill="1" applyBorder="1" applyAlignment="1">
      <alignment horizontal="center"/>
    </xf>
    <xf numFmtId="1" fontId="33" fillId="0" borderId="0" xfId="60" applyNumberFormat="1" applyFont="1"/>
    <xf numFmtId="174" fontId="33" fillId="0" borderId="0" xfId="60" applyNumberFormat="1" applyFont="1"/>
    <xf numFmtId="164" fontId="33" fillId="0" borderId="4" xfId="1" applyNumberFormat="1" applyFont="1" applyFill="1" applyBorder="1" applyAlignment="1">
      <alignment horizontal="center"/>
    </xf>
    <xf numFmtId="0" fontId="33" fillId="0" borderId="4" xfId="60" applyFont="1" applyBorder="1"/>
    <xf numFmtId="3" fontId="44" fillId="0" borderId="4" xfId="1" applyNumberFormat="1" applyFont="1" applyFill="1" applyBorder="1" applyAlignment="1">
      <alignment horizontal="center"/>
    </xf>
    <xf numFmtId="174" fontId="29" fillId="0" borderId="4" xfId="2" applyNumberFormat="1" applyFont="1" applyFill="1" applyBorder="1" applyAlignment="1">
      <alignment horizontal="center"/>
    </xf>
    <xf numFmtId="164" fontId="33" fillId="0" borderId="0" xfId="1" applyNumberFormat="1" applyFont="1" applyFill="1" applyAlignment="1">
      <alignment horizontal="center"/>
    </xf>
    <xf numFmtId="174" fontId="29" fillId="0" borderId="0" xfId="2" applyNumberFormat="1" applyFont="1" applyFill="1" applyBorder="1" applyAlignment="1">
      <alignment horizontal="center"/>
    </xf>
    <xf numFmtId="17" fontId="30" fillId="0" borderId="4" xfId="60" applyNumberFormat="1" applyFont="1" applyBorder="1" applyAlignment="1">
      <alignment horizontal="left" wrapText="1"/>
    </xf>
    <xf numFmtId="17" fontId="30" fillId="0" borderId="0" xfId="60" applyNumberFormat="1" applyFont="1" applyAlignment="1">
      <alignment horizontal="centerContinuous" wrapText="1"/>
    </xf>
    <xf numFmtId="183" fontId="33" fillId="0" borderId="0" xfId="64" applyNumberFormat="1" applyFont="1" applyFill="1"/>
    <xf numFmtId="165" fontId="46" fillId="0" borderId="0" xfId="2" applyFont="1" applyFill="1" applyBorder="1" applyAlignment="1">
      <alignment horizontal="center"/>
    </xf>
    <xf numFmtId="164" fontId="29" fillId="0" borderId="0" xfId="1" applyNumberFormat="1" applyFont="1" applyFill="1" applyBorder="1" applyAlignment="1">
      <alignment horizontal="center"/>
    </xf>
    <xf numFmtId="0" fontId="47" fillId="0" borderId="0" xfId="60" applyFont="1"/>
    <xf numFmtId="183" fontId="31" fillId="0" borderId="0" xfId="64" applyNumberFormat="1" applyFont="1" applyFill="1" applyBorder="1"/>
    <xf numFmtId="169" fontId="31" fillId="0" borderId="0" xfId="64" applyNumberFormat="1" applyFont="1" applyFill="1" applyBorder="1"/>
    <xf numFmtId="164" fontId="49" fillId="0" borderId="0" xfId="1" applyNumberFormat="1" applyFont="1" applyFill="1"/>
    <xf numFmtId="165" fontId="42" fillId="0" borderId="0" xfId="60" applyNumberFormat="1" applyFont="1"/>
    <xf numFmtId="165" fontId="29" fillId="0" borderId="0" xfId="2" applyFont="1" applyFill="1" applyBorder="1" applyAlignment="1">
      <alignment horizontal="center"/>
    </xf>
    <xf numFmtId="170" fontId="42" fillId="0" borderId="0" xfId="60" applyNumberFormat="1" applyFont="1"/>
    <xf numFmtId="2" fontId="31" fillId="0" borderId="0" xfId="60" applyNumberFormat="1" applyFont="1"/>
    <xf numFmtId="181" fontId="31" fillId="0" borderId="0" xfId="60" applyNumberFormat="1" applyFont="1"/>
    <xf numFmtId="165" fontId="33" fillId="0" borderId="7" xfId="2" applyFont="1" applyFill="1" applyBorder="1"/>
    <xf numFmtId="171" fontId="47" fillId="0" borderId="7" xfId="60" applyNumberFormat="1" applyFont="1" applyBorder="1" applyAlignment="1">
      <alignment horizontal="center"/>
    </xf>
    <xf numFmtId="171" fontId="47" fillId="0" borderId="0" xfId="60" applyNumberFormat="1" applyFont="1" applyAlignment="1">
      <alignment horizontal="center"/>
    </xf>
    <xf numFmtId="0" fontId="31" fillId="0" borderId="0" xfId="60" applyFont="1" applyAlignment="1">
      <alignment horizontal="left"/>
    </xf>
    <xf numFmtId="43" fontId="33" fillId="0" borderId="0" xfId="1" applyFont="1" applyFill="1" applyBorder="1" applyAlignment="1">
      <alignment horizontal="center"/>
    </xf>
    <xf numFmtId="43" fontId="33" fillId="0" borderId="3" xfId="1" applyFont="1" applyFill="1" applyBorder="1" applyAlignment="1">
      <alignment horizontal="center"/>
    </xf>
    <xf numFmtId="172" fontId="50" fillId="0" borderId="0" xfId="4" applyNumberFormat="1" applyFont="1" applyFill="1"/>
    <xf numFmtId="0" fontId="51" fillId="0" borderId="0" xfId="60" applyFont="1" applyAlignment="1">
      <alignment horizontal="center"/>
    </xf>
    <xf numFmtId="0" fontId="50" fillId="0" borderId="0" xfId="60" applyFont="1"/>
    <xf numFmtId="165" fontId="50" fillId="0" borderId="0" xfId="60" applyNumberFormat="1" applyFont="1"/>
    <xf numFmtId="10" fontId="29" fillId="0" borderId="0" xfId="4" applyNumberFormat="1" applyFont="1" applyFill="1" applyBorder="1" applyAlignment="1">
      <alignment horizontal="center"/>
    </xf>
    <xf numFmtId="165" fontId="50" fillId="0" borderId="0" xfId="2" applyFont="1" applyFill="1" applyBorder="1"/>
    <xf numFmtId="181" fontId="33" fillId="0" borderId="0" xfId="2" applyNumberFormat="1" applyFont="1" applyFill="1" applyBorder="1"/>
    <xf numFmtId="44" fontId="40" fillId="0" borderId="0" xfId="60" applyNumberFormat="1" applyFont="1" applyAlignment="1">
      <alignment horizontal="left"/>
    </xf>
    <xf numFmtId="165" fontId="47" fillId="0" borderId="0" xfId="60" applyNumberFormat="1" applyFont="1" applyAlignment="1">
      <alignment horizontal="left"/>
    </xf>
    <xf numFmtId="37" fontId="33" fillId="0" borderId="0" xfId="2" applyNumberFormat="1" applyFont="1" applyFill="1" applyBorder="1"/>
    <xf numFmtId="43" fontId="31" fillId="0" borderId="0" xfId="60" applyNumberFormat="1" applyFont="1"/>
    <xf numFmtId="181" fontId="40" fillId="0" borderId="0" xfId="60" applyNumberFormat="1" applyFont="1" applyAlignment="1">
      <alignment horizontal="left"/>
    </xf>
    <xf numFmtId="1" fontId="47" fillId="0" borderId="0" xfId="60" applyNumberFormat="1" applyFont="1"/>
    <xf numFmtId="14" fontId="47" fillId="0" borderId="0" xfId="60" applyNumberFormat="1" applyFont="1"/>
    <xf numFmtId="0" fontId="46" fillId="0" borderId="0" xfId="60" applyFont="1" applyAlignment="1">
      <alignment horizontal="center"/>
    </xf>
    <xf numFmtId="0" fontId="26" fillId="0" borderId="1" xfId="0" applyFont="1" applyBorder="1"/>
    <xf numFmtId="43" fontId="26" fillId="0" borderId="0" xfId="1" applyFont="1" applyBorder="1"/>
    <xf numFmtId="0" fontId="26" fillId="0" borderId="0" xfId="0" applyFont="1" applyAlignment="1">
      <alignment horizontal="center"/>
    </xf>
    <xf numFmtId="164" fontId="26" fillId="0" borderId="0" xfId="1" applyNumberFormat="1" applyFont="1"/>
    <xf numFmtId="164" fontId="26" fillId="0" borderId="0" xfId="0" applyNumberFormat="1" applyFont="1"/>
    <xf numFmtId="0" fontId="35" fillId="0" borderId="13" xfId="0" quotePrefix="1" applyFont="1" applyBorder="1" applyAlignment="1">
      <alignment horizontal="center"/>
    </xf>
    <xf numFmtId="17" fontId="30" fillId="0" borderId="13" xfId="0" quotePrefix="1" applyNumberFormat="1" applyFont="1" applyBorder="1" applyAlignment="1">
      <alignment horizontal="right" wrapText="1"/>
    </xf>
    <xf numFmtId="0" fontId="31" fillId="0" borderId="0" xfId="0" applyFont="1" applyAlignment="1">
      <alignment horizontal="right"/>
    </xf>
    <xf numFmtId="17" fontId="30" fillId="0" borderId="6" xfId="0" quotePrefix="1" applyNumberFormat="1" applyFont="1" applyBorder="1" applyAlignment="1">
      <alignment horizontal="center" wrapText="1"/>
    </xf>
    <xf numFmtId="0" fontId="33" fillId="0" borderId="0" xfId="0" applyFont="1" applyAlignment="1">
      <alignment horizontal="right"/>
    </xf>
    <xf numFmtId="0" fontId="33" fillId="0" borderId="1" xfId="0" applyFont="1" applyBorder="1" applyAlignment="1">
      <alignment horizontal="right"/>
    </xf>
    <xf numFmtId="0" fontId="31" fillId="0" borderId="6" xfId="0" applyFont="1" applyBorder="1" applyAlignment="1">
      <alignment horizontal="right"/>
    </xf>
    <xf numFmtId="0" fontId="31" fillId="0" borderId="13" xfId="0" applyFont="1" applyBorder="1" applyAlignment="1">
      <alignment horizontal="right"/>
    </xf>
    <xf numFmtId="170" fontId="31" fillId="0" borderId="0" xfId="0" applyNumberFormat="1" applyFont="1" applyAlignment="1">
      <alignment horizontal="right"/>
    </xf>
    <xf numFmtId="166" fontId="33" fillId="0" borderId="0" xfId="2" applyNumberFormat="1" applyFont="1" applyFill="1" applyBorder="1" applyAlignment="1">
      <alignment horizontal="right"/>
    </xf>
    <xf numFmtId="166" fontId="33" fillId="0" borderId="1" xfId="2" applyNumberFormat="1" applyFont="1" applyFill="1" applyBorder="1" applyAlignment="1">
      <alignment horizontal="right"/>
    </xf>
    <xf numFmtId="165" fontId="33" fillId="0" borderId="6" xfId="2" applyFont="1" applyFill="1" applyBorder="1" applyAlignment="1">
      <alignment horizontal="right"/>
    </xf>
    <xf numFmtId="165" fontId="33" fillId="0" borderId="13" xfId="2" applyFont="1" applyFill="1" applyBorder="1" applyAlignment="1">
      <alignment horizontal="right"/>
    </xf>
    <xf numFmtId="164" fontId="26" fillId="0" borderId="1" xfId="0" applyNumberFormat="1" applyFont="1" applyBorder="1"/>
    <xf numFmtId="180" fontId="26" fillId="0" borderId="8" xfId="0" applyNumberFormat="1" applyFont="1" applyBorder="1"/>
    <xf numFmtId="180" fontId="26" fillId="0" borderId="9" xfId="0" applyNumberFormat="1" applyFont="1" applyBorder="1"/>
    <xf numFmtId="0" fontId="26" fillId="0" borderId="0" xfId="0" applyFont="1" applyAlignment="1">
      <alignment horizontal="right"/>
    </xf>
    <xf numFmtId="0" fontId="39" fillId="0" borderId="0" xfId="0" quotePrefix="1" applyFont="1" applyAlignment="1">
      <alignment vertical="top" wrapText="1"/>
    </xf>
    <xf numFmtId="0" fontId="26" fillId="0" borderId="1" xfId="0" applyFont="1" applyBorder="1" applyAlignment="1">
      <alignment horizontal="center"/>
    </xf>
    <xf numFmtId="0" fontId="26" fillId="3" borderId="0" xfId="0" applyFont="1" applyFill="1" applyAlignment="1">
      <alignment horizontal="center"/>
    </xf>
    <xf numFmtId="0" fontId="26" fillId="0" borderId="0" xfId="0" quotePrefix="1" applyFont="1" applyAlignment="1">
      <alignment horizontal="center"/>
    </xf>
    <xf numFmtId="0" fontId="26" fillId="0" borderId="1" xfId="0" quotePrefix="1" applyFont="1" applyBorder="1" applyAlignment="1">
      <alignment horizontal="center"/>
    </xf>
    <xf numFmtId="164" fontId="53" fillId="0" borderId="0" xfId="1" applyNumberFormat="1" applyFont="1" applyAlignment="1">
      <alignment horizontal="center"/>
    </xf>
    <xf numFmtId="164" fontId="53" fillId="0" borderId="1" xfId="1" applyNumberFormat="1" applyFont="1" applyBorder="1" applyAlignment="1">
      <alignment horizontal="center"/>
    </xf>
    <xf numFmtId="0" fontId="26" fillId="3" borderId="2" xfId="0" applyFont="1" applyFill="1" applyBorder="1"/>
    <xf numFmtId="0" fontId="26" fillId="3" borderId="3" xfId="0" applyFont="1" applyFill="1" applyBorder="1"/>
    <xf numFmtId="164" fontId="26" fillId="0" borderId="3" xfId="1" applyNumberFormat="1" applyFont="1" applyBorder="1"/>
    <xf numFmtId="164" fontId="26" fillId="0" borderId="2" xfId="1" applyNumberFormat="1" applyFont="1" applyBorder="1"/>
    <xf numFmtId="0" fontId="26" fillId="3" borderId="0" xfId="0" quotePrefix="1" applyFont="1" applyFill="1"/>
    <xf numFmtId="164" fontId="26" fillId="3" borderId="0" xfId="1" applyNumberFormat="1" applyFont="1" applyFill="1"/>
    <xf numFmtId="164" fontId="26" fillId="3" borderId="1" xfId="1" applyNumberFormat="1" applyFont="1" applyFill="1" applyBorder="1"/>
    <xf numFmtId="164" fontId="26" fillId="0" borderId="0" xfId="1" applyNumberFormat="1" applyFont="1" applyFill="1"/>
    <xf numFmtId="164" fontId="26" fillId="0" borderId="1" xfId="1" applyNumberFormat="1" applyFont="1" applyFill="1" applyBorder="1"/>
    <xf numFmtId="164" fontId="53" fillId="0" borderId="8" xfId="1" applyNumberFormat="1" applyFont="1" applyBorder="1"/>
    <xf numFmtId="164" fontId="53" fillId="0" borderId="9" xfId="1" applyNumberFormat="1" applyFont="1" applyBorder="1"/>
    <xf numFmtId="0" fontId="26" fillId="3" borderId="2" xfId="0" quotePrefix="1" applyFont="1" applyFill="1" applyBorder="1"/>
    <xf numFmtId="0" fontId="26" fillId="3" borderId="3" xfId="0" quotePrefix="1" applyFont="1" applyFill="1" applyBorder="1"/>
    <xf numFmtId="164" fontId="26" fillId="3" borderId="3" xfId="1" applyNumberFormat="1" applyFont="1" applyFill="1" applyBorder="1"/>
    <xf numFmtId="164" fontId="26" fillId="3" borderId="2" xfId="1" applyNumberFormat="1" applyFont="1" applyFill="1" applyBorder="1"/>
    <xf numFmtId="0" fontId="33" fillId="0" borderId="0" xfId="0" applyFont="1"/>
    <xf numFmtId="164" fontId="33" fillId="0" borderId="1" xfId="1" applyNumberFormat="1" applyFont="1" applyFill="1" applyBorder="1"/>
    <xf numFmtId="164" fontId="26" fillId="3" borderId="10" xfId="1" applyNumberFormat="1" applyFont="1" applyFill="1" applyBorder="1"/>
    <xf numFmtId="164" fontId="26" fillId="0" borderId="1" xfId="1" applyNumberFormat="1" applyFont="1" applyBorder="1"/>
    <xf numFmtId="0" fontId="35" fillId="0" borderId="6" xfId="0" quotePrefix="1" applyFont="1" applyBorder="1" applyAlignment="1">
      <alignment horizontal="centerContinuous"/>
    </xf>
    <xf numFmtId="0" fontId="31" fillId="0" borderId="13" xfId="0" applyFont="1" applyBorder="1"/>
    <xf numFmtId="0" fontId="33" fillId="0" borderId="1" xfId="0" applyFont="1" applyBorder="1"/>
    <xf numFmtId="168" fontId="31" fillId="0" borderId="0" xfId="0" applyNumberFormat="1" applyFont="1" applyAlignment="1">
      <alignment horizontal="right"/>
    </xf>
    <xf numFmtId="168" fontId="33" fillId="0" borderId="0" xfId="2" applyNumberFormat="1" applyFont="1" applyFill="1" applyBorder="1" applyAlignment="1">
      <alignment horizontal="right"/>
    </xf>
    <xf numFmtId="165" fontId="33" fillId="0" borderId="1" xfId="2" applyFont="1" applyFill="1" applyBorder="1" applyAlignment="1">
      <alignment horizontal="right"/>
    </xf>
    <xf numFmtId="17" fontId="30" fillId="0" borderId="6" xfId="0" quotePrefix="1" applyNumberFormat="1" applyFont="1" applyBorder="1" applyAlignment="1">
      <alignment horizontal="right" wrapText="1"/>
    </xf>
    <xf numFmtId="168" fontId="33" fillId="0" borderId="6" xfId="2" applyNumberFormat="1" applyFont="1" applyFill="1" applyBorder="1" applyAlignment="1">
      <alignment horizontal="right"/>
    </xf>
    <xf numFmtId="168" fontId="33" fillId="0" borderId="1" xfId="2" applyNumberFormat="1" applyFont="1" applyFill="1" applyBorder="1" applyAlignment="1">
      <alignment horizontal="right"/>
    </xf>
    <xf numFmtId="168" fontId="31" fillId="0" borderId="6" xfId="0" applyNumberFormat="1" applyFont="1" applyBorder="1" applyAlignment="1">
      <alignment horizontal="right"/>
    </xf>
    <xf numFmtId="0" fontId="31" fillId="0" borderId="0" xfId="0" quotePrefix="1" applyFont="1" applyAlignment="1">
      <alignment vertical="top"/>
    </xf>
    <xf numFmtId="0" fontId="31" fillId="0" borderId="0" xfId="0" quotePrefix="1" applyFont="1" applyAlignment="1">
      <alignment vertical="top" wrapText="1"/>
    </xf>
    <xf numFmtId="0" fontId="31" fillId="0" borderId="0" xfId="0" applyFont="1" applyAlignment="1">
      <alignment horizontal="left"/>
    </xf>
    <xf numFmtId="0" fontId="31" fillId="0" borderId="1" xfId="0" applyFont="1" applyBorder="1" applyAlignment="1">
      <alignment horizontal="left"/>
    </xf>
    <xf numFmtId="0" fontId="33" fillId="0" borderId="0" xfId="0" applyFont="1" applyAlignment="1">
      <alignment horizontal="left"/>
    </xf>
    <xf numFmtId="0" fontId="31" fillId="0" borderId="13" xfId="0" applyFont="1" applyBorder="1" applyAlignment="1">
      <alignment horizontal="left"/>
    </xf>
    <xf numFmtId="179" fontId="33" fillId="0" borderId="0" xfId="2" applyNumberFormat="1" applyFont="1" applyFill="1" applyBorder="1" applyAlignment="1">
      <alignment horizontal="right"/>
    </xf>
    <xf numFmtId="179" fontId="33" fillId="0" borderId="1" xfId="2" applyNumberFormat="1" applyFont="1" applyFill="1" applyBorder="1" applyAlignment="1">
      <alignment horizontal="right"/>
    </xf>
    <xf numFmtId="169" fontId="33" fillId="0" borderId="0" xfId="4" applyNumberFormat="1" applyFont="1" applyFill="1" applyBorder="1" applyAlignment="1">
      <alignment horizontal="right"/>
    </xf>
    <xf numFmtId="169" fontId="33" fillId="0" borderId="1" xfId="4" applyNumberFormat="1" applyFont="1" applyFill="1" applyBorder="1" applyAlignment="1">
      <alignment horizontal="right"/>
    </xf>
    <xf numFmtId="165" fontId="33" fillId="0" borderId="6" xfId="2" applyFont="1" applyFill="1" applyBorder="1"/>
    <xf numFmtId="17" fontId="30" fillId="0" borderId="0" xfId="0" quotePrefix="1" applyNumberFormat="1" applyFont="1" applyAlignment="1">
      <alignment horizontal="right" wrapText="1"/>
    </xf>
    <xf numFmtId="17" fontId="30" fillId="0" borderId="1" xfId="0" quotePrefix="1" applyNumberFormat="1" applyFont="1" applyBorder="1" applyAlignment="1">
      <alignment horizontal="right" wrapText="1"/>
    </xf>
    <xf numFmtId="10" fontId="33" fillId="0" borderId="0" xfId="4" applyNumberFormat="1" applyFont="1" applyFill="1" applyBorder="1" applyAlignment="1">
      <alignment horizontal="right"/>
    </xf>
    <xf numFmtId="10" fontId="33" fillId="0" borderId="1" xfId="4" applyNumberFormat="1" applyFont="1" applyFill="1" applyBorder="1" applyAlignment="1">
      <alignment horizontal="right"/>
    </xf>
    <xf numFmtId="10" fontId="33" fillId="0" borderId="0" xfId="64" applyNumberFormat="1" applyFont="1" applyFill="1" applyBorder="1" applyAlignment="1">
      <alignment horizontal="right"/>
    </xf>
    <xf numFmtId="0" fontId="31" fillId="0" borderId="7" xfId="0" applyFont="1" applyBorder="1"/>
    <xf numFmtId="164" fontId="26" fillId="0" borderId="0" xfId="1" applyNumberFormat="1" applyFont="1" applyFill="1" applyBorder="1"/>
    <xf numFmtId="0" fontId="26" fillId="3" borderId="4" xfId="0" quotePrefix="1" applyFont="1" applyFill="1" applyBorder="1"/>
    <xf numFmtId="164" fontId="26" fillId="3" borderId="4" xfId="1" applyNumberFormat="1" applyFont="1" applyFill="1" applyBorder="1"/>
    <xf numFmtId="164" fontId="26" fillId="3" borderId="11" xfId="1" applyNumberFormat="1" applyFont="1" applyFill="1" applyBorder="1"/>
    <xf numFmtId="164" fontId="53" fillId="0" borderId="0" xfId="1" applyNumberFormat="1" applyFont="1"/>
    <xf numFmtId="164" fontId="53" fillId="0" borderId="1" xfId="1" applyNumberFormat="1" applyFont="1" applyBorder="1"/>
    <xf numFmtId="170" fontId="33" fillId="0" borderId="0" xfId="2" applyNumberFormat="1" applyFont="1" applyFill="1" applyBorder="1" applyAlignment="1">
      <alignment horizontal="right"/>
    </xf>
    <xf numFmtId="170" fontId="33" fillId="0" borderId="1" xfId="2" applyNumberFormat="1" applyFont="1" applyFill="1" applyBorder="1" applyAlignment="1">
      <alignment horizontal="right"/>
    </xf>
    <xf numFmtId="170" fontId="30" fillId="0" borderId="6" xfId="0" quotePrefix="1" applyNumberFormat="1" applyFont="1" applyBorder="1" applyAlignment="1">
      <alignment horizontal="right" wrapText="1"/>
    </xf>
    <xf numFmtId="0" fontId="33" fillId="0" borderId="6" xfId="0" applyFont="1" applyBorder="1" applyAlignment="1">
      <alignment horizontal="right"/>
    </xf>
    <xf numFmtId="0" fontId="31" fillId="0" borderId="1" xfId="0" applyFont="1" applyBorder="1" applyAlignment="1">
      <alignment horizontal="right"/>
    </xf>
    <xf numFmtId="0" fontId="35" fillId="0" borderId="13" xfId="0" quotePrefix="1" applyFont="1" applyBorder="1" applyAlignment="1">
      <alignment horizontal="centerContinuous"/>
    </xf>
    <xf numFmtId="0" fontId="35" fillId="0" borderId="6" xfId="0" quotePrefix="1" applyFont="1" applyBorder="1" applyAlignment="1">
      <alignment horizontal="right"/>
    </xf>
    <xf numFmtId="0" fontId="35" fillId="0" borderId="13" xfId="0" quotePrefix="1" applyFont="1" applyBorder="1" applyAlignment="1">
      <alignment horizontal="right"/>
    </xf>
    <xf numFmtId="17" fontId="30" fillId="0" borderId="7" xfId="0" quotePrefix="1" applyNumberFormat="1" applyFont="1" applyBorder="1" applyAlignment="1">
      <alignment horizontal="center" wrapText="1"/>
    </xf>
    <xf numFmtId="17" fontId="30" fillId="0" borderId="10" xfId="0" quotePrefix="1" applyNumberFormat="1" applyFont="1" applyBorder="1" applyAlignment="1">
      <alignment horizontal="center" wrapText="1"/>
    </xf>
    <xf numFmtId="0" fontId="35" fillId="0" borderId="14" xfId="0" quotePrefix="1" applyFont="1" applyBorder="1" applyAlignment="1">
      <alignment horizontal="centerContinuous"/>
    </xf>
    <xf numFmtId="17" fontId="30" fillId="0" borderId="0" xfId="0" applyNumberFormat="1" applyFont="1" applyAlignment="1">
      <alignment horizontal="center" wrapText="1"/>
    </xf>
    <xf numFmtId="164" fontId="33" fillId="0" borderId="0" xfId="1" quotePrefix="1" applyNumberFormat="1" applyFont="1" applyFill="1" applyBorder="1" applyAlignment="1">
      <alignment horizontal="right" wrapText="1"/>
    </xf>
    <xf numFmtId="164" fontId="33" fillId="0" borderId="1" xfId="1" quotePrefix="1" applyNumberFormat="1" applyFont="1" applyFill="1" applyBorder="1" applyAlignment="1">
      <alignment horizontal="right" wrapText="1"/>
    </xf>
    <xf numFmtId="0" fontId="31" fillId="0" borderId="6" xfId="0" applyFont="1" applyBorder="1"/>
    <xf numFmtId="0" fontId="33" fillId="0" borderId="0" xfId="0" applyFont="1" applyAlignment="1">
      <alignment horizontal="center"/>
    </xf>
    <xf numFmtId="38" fontId="30" fillId="0" borderId="0" xfId="0" quotePrefix="1" applyNumberFormat="1" applyFont="1" applyAlignment="1">
      <alignment horizontal="center" wrapText="1"/>
    </xf>
    <xf numFmtId="0" fontId="33" fillId="0" borderId="6" xfId="0" applyFont="1" applyBorder="1"/>
    <xf numFmtId="171" fontId="47" fillId="0" borderId="0" xfId="2" applyNumberFormat="1" applyFont="1" applyFill="1" applyBorder="1" applyAlignment="1">
      <alignment horizontal="right"/>
    </xf>
    <xf numFmtId="184" fontId="26" fillId="0" borderId="1" xfId="1" applyNumberFormat="1" applyFont="1" applyBorder="1"/>
    <xf numFmtId="184" fontId="26" fillId="0" borderId="0" xfId="1" applyNumberFormat="1" applyFont="1"/>
    <xf numFmtId="10" fontId="26" fillId="0" borderId="1" xfId="4" applyNumberFormat="1" applyFont="1" applyBorder="1"/>
    <xf numFmtId="10" fontId="26" fillId="0" borderId="0" xfId="4" applyNumberFormat="1" applyFont="1"/>
    <xf numFmtId="0" fontId="33" fillId="0" borderId="1" xfId="0" applyFont="1" applyBorder="1" applyAlignment="1">
      <alignment horizontal="center"/>
    </xf>
    <xf numFmtId="0" fontId="33" fillId="0" borderId="6" xfId="0" applyFont="1" applyBorder="1" applyAlignment="1">
      <alignment horizontal="center"/>
    </xf>
    <xf numFmtId="173" fontId="33" fillId="0" borderId="0" xfId="2" applyNumberFormat="1" applyFont="1" applyFill="1" applyBorder="1" applyAlignment="1">
      <alignment horizontal="right"/>
    </xf>
    <xf numFmtId="173" fontId="33" fillId="0" borderId="1" xfId="2" applyNumberFormat="1" applyFont="1" applyFill="1" applyBorder="1" applyAlignment="1">
      <alignment horizontal="right"/>
    </xf>
    <xf numFmtId="173" fontId="33" fillId="0" borderId="6" xfId="2" applyNumberFormat="1" applyFont="1" applyFill="1" applyBorder="1" applyAlignment="1">
      <alignment horizontal="right"/>
    </xf>
    <xf numFmtId="173" fontId="33" fillId="0" borderId="0" xfId="2" applyNumberFormat="1" applyFont="1" applyFill="1" applyBorder="1"/>
    <xf numFmtId="174" fontId="33" fillId="0" borderId="0" xfId="2" applyNumberFormat="1" applyFont="1" applyFill="1" applyBorder="1"/>
    <xf numFmtId="169" fontId="31" fillId="0" borderId="0" xfId="4" applyNumberFormat="1" applyFont="1" applyFill="1" applyBorder="1" applyAlignment="1">
      <alignment horizontal="right"/>
    </xf>
    <xf numFmtId="169" fontId="31" fillId="0" borderId="1" xfId="4" applyNumberFormat="1" applyFont="1" applyFill="1" applyBorder="1" applyAlignment="1">
      <alignment horizontal="right"/>
    </xf>
    <xf numFmtId="169" fontId="31" fillId="0" borderId="6" xfId="4" applyNumberFormat="1" applyFont="1" applyFill="1" applyBorder="1" applyAlignment="1">
      <alignment horizontal="right"/>
    </xf>
    <xf numFmtId="175" fontId="33" fillId="0" borderId="0" xfId="2" applyNumberFormat="1" applyFont="1" applyFill="1" applyBorder="1" applyAlignment="1">
      <alignment horizontal="right"/>
    </xf>
    <xf numFmtId="176" fontId="31" fillId="0" borderId="0" xfId="1" applyNumberFormat="1" applyFont="1" applyFill="1" applyBorder="1" applyAlignment="1">
      <alignment horizontal="right"/>
    </xf>
    <xf numFmtId="176" fontId="31" fillId="0" borderId="1" xfId="1" applyNumberFormat="1" applyFont="1" applyFill="1" applyBorder="1" applyAlignment="1">
      <alignment horizontal="right"/>
    </xf>
    <xf numFmtId="176" fontId="31" fillId="0" borderId="6" xfId="1" applyNumberFormat="1" applyFont="1" applyFill="1" applyBorder="1" applyAlignment="1">
      <alignment horizontal="right"/>
    </xf>
    <xf numFmtId="176" fontId="31" fillId="0" borderId="1" xfId="4" applyNumberFormat="1" applyFont="1" applyFill="1" applyBorder="1" applyAlignment="1">
      <alignment horizontal="right"/>
    </xf>
    <xf numFmtId="176" fontId="31" fillId="0" borderId="0" xfId="4" applyNumberFormat="1" applyFont="1" applyFill="1" applyBorder="1" applyAlignment="1">
      <alignment horizontal="right"/>
    </xf>
    <xf numFmtId="0" fontId="31" fillId="0" borderId="0" xfId="0" applyFont="1" applyAlignment="1">
      <alignment horizontal="center"/>
    </xf>
    <xf numFmtId="0" fontId="31" fillId="0" borderId="1" xfId="0" applyFont="1" applyBorder="1" applyAlignment="1">
      <alignment horizontal="center"/>
    </xf>
    <xf numFmtId="0" fontId="31" fillId="0" borderId="6" xfId="0" applyFont="1" applyBorder="1" applyAlignment="1">
      <alignment horizontal="center"/>
    </xf>
    <xf numFmtId="165" fontId="33" fillId="0" borderId="1" xfId="2" applyFont="1" applyFill="1" applyBorder="1" applyAlignment="1">
      <alignment horizontal="center"/>
    </xf>
    <xf numFmtId="165" fontId="33" fillId="0" borderId="6" xfId="2" applyFont="1" applyFill="1" applyBorder="1" applyAlignment="1">
      <alignment horizontal="center"/>
    </xf>
    <xf numFmtId="165" fontId="33" fillId="0" borderId="0" xfId="2" quotePrefix="1" applyFont="1" applyFill="1" applyBorder="1" applyAlignment="1">
      <alignment horizontal="center"/>
    </xf>
    <xf numFmtId="165" fontId="33" fillId="0" borderId="1" xfId="2" quotePrefix="1" applyFont="1" applyFill="1" applyBorder="1" applyAlignment="1">
      <alignment horizontal="center"/>
    </xf>
    <xf numFmtId="165" fontId="33" fillId="0" borderId="6" xfId="2" quotePrefix="1" applyFont="1" applyFill="1" applyBorder="1" applyAlignment="1">
      <alignment horizontal="center"/>
    </xf>
    <xf numFmtId="165" fontId="33" fillId="0" borderId="0" xfId="2" quotePrefix="1" applyFont="1" applyFill="1" applyBorder="1" applyAlignment="1">
      <alignment horizontal="right"/>
    </xf>
    <xf numFmtId="172" fontId="31" fillId="0" borderId="0" xfId="2" applyNumberFormat="1" applyFont="1" applyFill="1" applyBorder="1" applyAlignment="1">
      <alignment horizontal="right"/>
    </xf>
    <xf numFmtId="169" fontId="31" fillId="0" borderId="0" xfId="4" applyNumberFormat="1" applyFont="1" applyFill="1"/>
    <xf numFmtId="169" fontId="31" fillId="0" borderId="7" xfId="4" applyNumberFormat="1" applyFont="1" applyFill="1" applyBorder="1"/>
    <xf numFmtId="171" fontId="47" fillId="0" borderId="7" xfId="0" applyNumberFormat="1" applyFont="1" applyBorder="1" applyAlignment="1">
      <alignment horizontal="center"/>
    </xf>
    <xf numFmtId="0" fontId="26" fillId="0" borderId="6" xfId="0" applyFont="1" applyBorder="1"/>
    <xf numFmtId="165" fontId="30" fillId="0" borderId="0" xfId="2" applyFont="1" applyFill="1" applyBorder="1" applyAlignment="1">
      <alignment horizontal="center" vertical="top"/>
    </xf>
    <xf numFmtId="165" fontId="30" fillId="0" borderId="1" xfId="2" applyFont="1" applyFill="1" applyBorder="1" applyAlignment="1">
      <alignment horizontal="center" vertical="top"/>
    </xf>
    <xf numFmtId="0" fontId="31" fillId="0" borderId="0" xfId="0" quotePrefix="1" applyFont="1" applyAlignment="1">
      <alignment horizontal="left" vertical="top"/>
    </xf>
    <xf numFmtId="164" fontId="26" fillId="0" borderId="0" xfId="1" applyNumberFormat="1" applyFont="1" applyAlignment="1">
      <alignment horizontal="center"/>
    </xf>
    <xf numFmtId="164" fontId="26" fillId="0" borderId="0" xfId="1" quotePrefix="1" applyNumberFormat="1" applyFont="1" applyAlignment="1">
      <alignment horizontal="center"/>
    </xf>
    <xf numFmtId="164" fontId="53" fillId="0" borderId="0" xfId="1" applyNumberFormat="1" applyFont="1" applyBorder="1"/>
    <xf numFmtId="164" fontId="26" fillId="4" borderId="0" xfId="1" applyNumberFormat="1" applyFont="1" applyFill="1"/>
    <xf numFmtId="164" fontId="26" fillId="4" borderId="1" xfId="1" applyNumberFormat="1" applyFont="1" applyFill="1" applyBorder="1"/>
    <xf numFmtId="0" fontId="56" fillId="0" borderId="0" xfId="0" applyFont="1"/>
    <xf numFmtId="0" fontId="30" fillId="0" borderId="0" xfId="0" applyFont="1" applyAlignment="1">
      <alignment horizontal="left" vertical="center" wrapText="1"/>
    </xf>
    <xf numFmtId="0" fontId="30" fillId="0" borderId="53" xfId="0" applyFont="1" applyBorder="1" applyAlignment="1">
      <alignment horizontal="left" vertical="center"/>
    </xf>
    <xf numFmtId="0" fontId="30" fillId="0" borderId="53" xfId="0" applyFont="1" applyBorder="1" applyAlignment="1">
      <alignment horizontal="centerContinuous" vertical="center"/>
    </xf>
    <xf numFmtId="0" fontId="30" fillId="0" borderId="53" xfId="0" applyFont="1" applyBorder="1" applyAlignment="1">
      <alignment horizontal="centerContinuous"/>
    </xf>
    <xf numFmtId="0" fontId="30" fillId="0" borderId="53" xfId="0" applyFont="1" applyBorder="1" applyAlignment="1">
      <alignment horizontal="center"/>
    </xf>
    <xf numFmtId="0" fontId="30" fillId="0" borderId="53" xfId="0" applyFont="1" applyBorder="1"/>
    <xf numFmtId="0" fontId="57" fillId="0" borderId="0" xfId="0" applyFont="1"/>
    <xf numFmtId="0" fontId="58" fillId="0" borderId="0" xfId="0" applyFont="1" applyAlignment="1">
      <alignment horizontal="center"/>
    </xf>
    <xf numFmtId="191" fontId="57" fillId="0" borderId="0" xfId="0" quotePrefix="1" applyNumberFormat="1" applyFont="1" applyAlignment="1">
      <alignment horizontal="left" wrapText="1"/>
    </xf>
    <xf numFmtId="0" fontId="57" fillId="0" borderId="0" xfId="0" applyFont="1" applyAlignment="1">
      <alignment horizontal="center"/>
    </xf>
    <xf numFmtId="0" fontId="57" fillId="0" borderId="0" xfId="0" quotePrefix="1" applyFont="1" applyAlignment="1">
      <alignment horizontal="center"/>
    </xf>
    <xf numFmtId="16" fontId="57" fillId="0" borderId="0" xfId="0" quotePrefix="1" applyNumberFormat="1" applyFont="1" applyAlignment="1">
      <alignment horizontal="center"/>
    </xf>
    <xf numFmtId="0" fontId="57" fillId="0" borderId="0" xfId="0" quotePrefix="1" applyFont="1" applyAlignment="1">
      <alignment horizontal="left" wrapText="1"/>
    </xf>
    <xf numFmtId="191" fontId="57" fillId="0" borderId="0" xfId="0" quotePrefix="1" applyNumberFormat="1" applyFont="1" applyAlignment="1">
      <alignment horizontal="left" wrapText="1" indent="2"/>
    </xf>
    <xf numFmtId="0" fontId="31" fillId="0" borderId="7" xfId="0" applyFont="1" applyBorder="1" applyAlignment="1">
      <alignment horizontal="center"/>
    </xf>
    <xf numFmtId="0" fontId="59" fillId="0" borderId="0" xfId="0" quotePrefix="1" applyFont="1" applyAlignment="1">
      <alignment vertical="top" wrapText="1"/>
    </xf>
    <xf numFmtId="0" fontId="60" fillId="0" borderId="0" xfId="0" applyFont="1"/>
    <xf numFmtId="0" fontId="54" fillId="0" borderId="0" xfId="0" quotePrefix="1" applyFont="1" applyAlignment="1">
      <alignment vertical="top" wrapText="1"/>
    </xf>
    <xf numFmtId="0" fontId="26" fillId="0" borderId="0" xfId="0" applyFont="1" applyAlignment="1">
      <alignment vertical="top" wrapText="1"/>
    </xf>
    <xf numFmtId="0" fontId="31" fillId="0" borderId="0" xfId="60" applyFont="1" applyAlignment="1">
      <alignment vertical="top"/>
    </xf>
    <xf numFmtId="0" fontId="63" fillId="0" borderId="0" xfId="0" applyFont="1" applyAlignment="1">
      <alignment vertical="top" wrapText="1"/>
    </xf>
    <xf numFmtId="49" fontId="63" fillId="0" borderId="0" xfId="0" applyNumberFormat="1" applyFont="1" applyAlignment="1">
      <alignment vertical="top" wrapText="1"/>
    </xf>
    <xf numFmtId="165" fontId="33" fillId="0" borderId="0" xfId="2" applyFont="1" applyFill="1" applyAlignment="1">
      <alignment horizontal="right"/>
    </xf>
    <xf numFmtId="0" fontId="61" fillId="0" borderId="0" xfId="0" applyFont="1" applyAlignment="1">
      <alignment horizontal="center"/>
    </xf>
    <xf numFmtId="0" fontId="33" fillId="0" borderId="4" xfId="0" applyFont="1" applyBorder="1"/>
    <xf numFmtId="164" fontId="33" fillId="0" borderId="0" xfId="1" quotePrefix="1" applyNumberFormat="1" applyFont="1" applyAlignment="1">
      <alignment horizontal="center"/>
    </xf>
    <xf numFmtId="164" fontId="30" fillId="0" borderId="0" xfId="1" applyNumberFormat="1" applyFont="1" applyAlignment="1">
      <alignment horizontal="center"/>
    </xf>
    <xf numFmtId="164" fontId="33" fillId="0" borderId="3" xfId="1" applyNumberFormat="1" applyFont="1" applyBorder="1"/>
    <xf numFmtId="164" fontId="33" fillId="3" borderId="0" xfId="1" applyNumberFormat="1" applyFont="1" applyFill="1"/>
    <xf numFmtId="164" fontId="30" fillId="0" borderId="8" xfId="1" applyNumberFormat="1" applyFont="1" applyBorder="1"/>
    <xf numFmtId="164" fontId="33" fillId="0" borderId="0" xfId="1" applyNumberFormat="1" applyFont="1"/>
    <xf numFmtId="164" fontId="30" fillId="0" borderId="0" xfId="1" applyNumberFormat="1" applyFont="1" applyBorder="1"/>
    <xf numFmtId="164" fontId="33" fillId="4" borderId="0" xfId="1" applyNumberFormat="1" applyFont="1" applyFill="1"/>
    <xf numFmtId="0" fontId="33" fillId="0" borderId="7" xfId="0" applyFont="1" applyBorder="1"/>
    <xf numFmtId="0" fontId="33" fillId="0" borderId="0" xfId="0" quotePrefix="1" applyFont="1" applyAlignment="1">
      <alignment horizontal="center"/>
    </xf>
    <xf numFmtId="184" fontId="33" fillId="0" borderId="0" xfId="1" applyNumberFormat="1" applyFont="1"/>
    <xf numFmtId="10" fontId="33" fillId="0" borderId="0" xfId="4" applyNumberFormat="1" applyFont="1"/>
    <xf numFmtId="164" fontId="33" fillId="3" borderId="4" xfId="1" applyNumberFormat="1" applyFont="1" applyFill="1" applyBorder="1"/>
    <xf numFmtId="164" fontId="30" fillId="0" borderId="0" xfId="1" applyNumberFormat="1" applyFont="1"/>
    <xf numFmtId="164" fontId="33" fillId="0" borderId="0" xfId="0" applyNumberFormat="1" applyFont="1"/>
    <xf numFmtId="180" fontId="33" fillId="0" borderId="8" xfId="0" applyNumberFormat="1" applyFont="1" applyBorder="1"/>
    <xf numFmtId="164" fontId="33" fillId="3" borderId="3" xfId="1" applyNumberFormat="1" applyFont="1" applyFill="1" applyBorder="1"/>
    <xf numFmtId="0" fontId="26" fillId="0" borderId="23" xfId="0" applyFont="1" applyBorder="1" applyProtection="1">
      <protection locked="0"/>
    </xf>
    <xf numFmtId="0" fontId="26" fillId="0" borderId="24" xfId="0" applyFont="1" applyBorder="1" applyProtection="1">
      <protection locked="0"/>
    </xf>
    <xf numFmtId="0" fontId="26" fillId="0" borderId="0" xfId="0" applyFont="1" applyProtection="1">
      <protection locked="0"/>
    </xf>
    <xf numFmtId="0" fontId="26" fillId="0" borderId="26" xfId="0" applyFont="1" applyBorder="1" applyProtection="1">
      <protection locked="0"/>
    </xf>
    <xf numFmtId="0" fontId="26" fillId="0" borderId="2" xfId="0" applyFont="1" applyBorder="1" applyProtection="1">
      <protection locked="0"/>
    </xf>
    <xf numFmtId="0" fontId="26" fillId="0" borderId="3" xfId="0" applyFont="1" applyBorder="1" applyProtection="1">
      <protection locked="0"/>
    </xf>
    <xf numFmtId="0" fontId="26" fillId="0" borderId="16" xfId="0" applyFont="1" applyBorder="1" applyProtection="1">
      <protection locked="0"/>
    </xf>
    <xf numFmtId="0" fontId="26" fillId="0" borderId="27" xfId="0" applyFont="1" applyBorder="1" applyProtection="1">
      <protection locked="0"/>
    </xf>
    <xf numFmtId="0" fontId="26" fillId="0" borderId="10" xfId="0" applyFont="1" applyBorder="1" applyProtection="1">
      <protection locked="0"/>
    </xf>
    <xf numFmtId="43" fontId="26" fillId="0" borderId="7" xfId="0" applyNumberFormat="1" applyFont="1" applyBorder="1" applyProtection="1">
      <protection locked="0"/>
    </xf>
    <xf numFmtId="43" fontId="26" fillId="0" borderId="14" xfId="0" applyNumberFormat="1" applyFont="1" applyBorder="1" applyProtection="1">
      <protection locked="0"/>
    </xf>
    <xf numFmtId="0" fontId="17" fillId="0" borderId="0" xfId="62" applyAlignment="1" applyProtection="1">
      <alignment horizontal="center"/>
      <protection locked="0"/>
    </xf>
    <xf numFmtId="0" fontId="17" fillId="0" borderId="28" xfId="0" applyFont="1" applyBorder="1" applyProtection="1">
      <protection locked="0"/>
    </xf>
    <xf numFmtId="0" fontId="26" fillId="0" borderId="29" xfId="0" applyFont="1" applyBorder="1" applyProtection="1">
      <protection locked="0"/>
    </xf>
    <xf numFmtId="43" fontId="26" fillId="0" borderId="0" xfId="0" applyNumberFormat="1" applyFont="1" applyProtection="1">
      <protection locked="0"/>
    </xf>
    <xf numFmtId="43" fontId="26" fillId="0" borderId="6" xfId="0" applyNumberFormat="1" applyFont="1" applyBorder="1" applyProtection="1">
      <protection locked="0"/>
    </xf>
    <xf numFmtId="0" fontId="26" fillId="0" borderId="28" xfId="0" applyFont="1" applyBorder="1" applyProtection="1">
      <protection locked="0"/>
    </xf>
    <xf numFmtId="0" fontId="26" fillId="0" borderId="1" xfId="0" applyFont="1" applyBorder="1" applyProtection="1">
      <protection locked="0"/>
    </xf>
    <xf numFmtId="0" fontId="26" fillId="0" borderId="9" xfId="0" applyFont="1" applyBorder="1" applyProtection="1">
      <protection locked="0"/>
    </xf>
    <xf numFmtId="43" fontId="26" fillId="0" borderId="8" xfId="0" applyNumberFormat="1" applyFont="1" applyBorder="1" applyProtection="1">
      <protection locked="0"/>
    </xf>
    <xf numFmtId="43" fontId="26" fillId="0" borderId="15" xfId="0" applyNumberFormat="1" applyFont="1" applyBorder="1" applyProtection="1">
      <protection locked="0"/>
    </xf>
    <xf numFmtId="43" fontId="26" fillId="0" borderId="0" xfId="1" applyFont="1" applyBorder="1" applyProtection="1">
      <protection locked="0"/>
    </xf>
    <xf numFmtId="164" fontId="26" fillId="0" borderId="0" xfId="1" applyNumberFormat="1" applyFont="1" applyProtection="1">
      <protection locked="0"/>
    </xf>
    <xf numFmtId="0" fontId="26" fillId="0" borderId="33" xfId="0" applyFont="1" applyBorder="1" applyProtection="1">
      <protection locked="0"/>
    </xf>
    <xf numFmtId="4" fontId="26" fillId="0" borderId="0" xfId="0" applyNumberFormat="1" applyFont="1" applyProtection="1">
      <protection locked="0"/>
    </xf>
    <xf numFmtId="37" fontId="26" fillId="0" borderId="0" xfId="0" applyNumberFormat="1" applyFont="1" applyProtection="1">
      <protection locked="0"/>
    </xf>
    <xf numFmtId="0" fontId="26" fillId="0" borderId="34" xfId="0" applyFont="1" applyBorder="1" applyProtection="1">
      <protection locked="0"/>
    </xf>
    <xf numFmtId="0" fontId="26" fillId="0" borderId="35" xfId="0" applyFont="1" applyBorder="1" applyProtection="1">
      <protection locked="0"/>
    </xf>
    <xf numFmtId="164" fontId="26" fillId="0" borderId="0" xfId="0" applyNumberFormat="1" applyFont="1" applyProtection="1">
      <protection locked="0"/>
    </xf>
    <xf numFmtId="164" fontId="26" fillId="0" borderId="23" xfId="0" applyNumberFormat="1" applyFont="1" applyBorder="1" applyProtection="1">
      <protection locked="0"/>
    </xf>
    <xf numFmtId="164" fontId="26" fillId="0" borderId="35" xfId="0" applyNumberFormat="1" applyFont="1" applyBorder="1" applyProtection="1">
      <protection locked="0"/>
    </xf>
    <xf numFmtId="10" fontId="26" fillId="0" borderId="35" xfId="0" applyNumberFormat="1" applyFont="1" applyBorder="1" applyProtection="1">
      <protection locked="0"/>
    </xf>
    <xf numFmtId="10" fontId="26" fillId="0" borderId="27" xfId="0" applyNumberFormat="1" applyFont="1" applyBorder="1" applyProtection="1">
      <protection locked="0"/>
    </xf>
    <xf numFmtId="164" fontId="26" fillId="0" borderId="28" xfId="0" applyNumberFormat="1" applyFont="1" applyBorder="1" applyProtection="1">
      <protection locked="0"/>
    </xf>
    <xf numFmtId="10" fontId="26" fillId="0" borderId="0" xfId="0" applyNumberFormat="1" applyFont="1" applyProtection="1">
      <protection locked="0"/>
    </xf>
    <xf numFmtId="10" fontId="26" fillId="0" borderId="36" xfId="0" applyNumberFormat="1" applyFont="1" applyBorder="1" applyProtection="1">
      <protection locked="0"/>
    </xf>
    <xf numFmtId="0" fontId="17" fillId="0" borderId="2" xfId="0" applyFont="1" applyBorder="1" applyProtection="1">
      <protection locked="0"/>
    </xf>
    <xf numFmtId="164" fontId="17" fillId="0" borderId="33" xfId="0" applyNumberFormat="1" applyFont="1" applyBorder="1" applyProtection="1">
      <protection locked="0"/>
    </xf>
    <xf numFmtId="164" fontId="17" fillId="0" borderId="37" xfId="0" applyNumberFormat="1" applyFont="1" applyBorder="1" applyProtection="1">
      <protection locked="0"/>
    </xf>
    <xf numFmtId="10" fontId="17" fillId="0" borderId="37" xfId="0" applyNumberFormat="1" applyFont="1" applyBorder="1" applyProtection="1">
      <protection locked="0"/>
    </xf>
    <xf numFmtId="10" fontId="17" fillId="0" borderId="38" xfId="0" applyNumberFormat="1" applyFont="1" applyBorder="1" applyProtection="1">
      <protection locked="0"/>
    </xf>
    <xf numFmtId="0" fontId="31" fillId="0" borderId="0" xfId="0" applyFont="1" applyProtection="1">
      <protection locked="0"/>
    </xf>
    <xf numFmtId="164" fontId="31" fillId="0" borderId="0" xfId="0" applyNumberFormat="1" applyFont="1" applyProtection="1">
      <protection locked="0"/>
    </xf>
    <xf numFmtId="0" fontId="0" fillId="5" borderId="34" xfId="0" applyFill="1" applyBorder="1" applyProtection="1">
      <protection locked="0"/>
    </xf>
    <xf numFmtId="0" fontId="26" fillId="5" borderId="0" xfId="0" applyFont="1" applyFill="1" applyProtection="1">
      <protection locked="0"/>
    </xf>
    <xf numFmtId="0" fontId="0" fillId="0" borderId="23" xfId="0" applyBorder="1" applyProtection="1">
      <protection locked="0"/>
    </xf>
    <xf numFmtId="0" fontId="0" fillId="0" borderId="24" xfId="0" applyBorder="1" applyProtection="1">
      <protection locked="0"/>
    </xf>
    <xf numFmtId="0" fontId="0" fillId="0" borderId="26" xfId="0" applyBorder="1" applyProtection="1">
      <protection locked="0"/>
    </xf>
    <xf numFmtId="0" fontId="0" fillId="0" borderId="27" xfId="0" applyBorder="1" applyProtection="1">
      <protection locked="0"/>
    </xf>
    <xf numFmtId="0" fontId="17" fillId="0" borderId="39" xfId="0" applyFont="1" applyBorder="1" applyProtection="1">
      <protection locked="0"/>
    </xf>
    <xf numFmtId="164" fontId="17" fillId="0" borderId="39" xfId="0" applyNumberFormat="1" applyFont="1" applyBorder="1" applyProtection="1">
      <protection locked="0"/>
    </xf>
    <xf numFmtId="10" fontId="17" fillId="0" borderId="40" xfId="0" applyNumberFormat="1" applyFont="1" applyBorder="1" applyProtection="1">
      <protection locked="0"/>
    </xf>
    <xf numFmtId="0" fontId="17" fillId="0" borderId="57" xfId="0" applyFont="1" applyBorder="1" applyProtection="1">
      <protection locked="0"/>
    </xf>
    <xf numFmtId="0" fontId="17" fillId="0" borderId="41" xfId="0" applyFont="1" applyBorder="1" applyProtection="1">
      <protection locked="0"/>
    </xf>
    <xf numFmtId="0" fontId="17" fillId="0" borderId="58" xfId="0" applyFont="1" applyBorder="1" applyProtection="1">
      <protection locked="0"/>
    </xf>
    <xf numFmtId="164" fontId="17" fillId="0" borderId="41" xfId="0" applyNumberFormat="1" applyFont="1" applyBorder="1" applyProtection="1">
      <protection locked="0"/>
    </xf>
    <xf numFmtId="10" fontId="17" fillId="0" borderId="42" xfId="0" applyNumberFormat="1" applyFont="1" applyBorder="1" applyProtection="1">
      <protection locked="0"/>
    </xf>
    <xf numFmtId="0" fontId="0" fillId="5" borderId="0" xfId="0" applyFill="1" applyProtection="1">
      <protection locked="0"/>
    </xf>
    <xf numFmtId="0" fontId="0" fillId="0" borderId="0" xfId="0" applyProtection="1">
      <protection locked="0"/>
    </xf>
    <xf numFmtId="0" fontId="17" fillId="0" borderId="23" xfId="67" applyBorder="1" applyProtection="1">
      <protection locked="0"/>
    </xf>
    <xf numFmtId="164" fontId="17" fillId="0" borderId="23" xfId="67" applyNumberFormat="1" applyBorder="1" applyProtection="1">
      <protection locked="0"/>
    </xf>
    <xf numFmtId="10" fontId="17" fillId="0" borderId="27" xfId="67" applyNumberFormat="1" applyBorder="1" applyProtection="1">
      <protection locked="0"/>
    </xf>
    <xf numFmtId="0" fontId="17" fillId="0" borderId="24" xfId="67" applyBorder="1" applyProtection="1">
      <protection locked="0"/>
    </xf>
    <xf numFmtId="0" fontId="17" fillId="0" borderId="33" xfId="67" applyBorder="1" applyProtection="1">
      <protection locked="0"/>
    </xf>
    <xf numFmtId="0" fontId="17" fillId="0" borderId="43" xfId="67" applyBorder="1" applyProtection="1">
      <protection locked="0"/>
    </xf>
    <xf numFmtId="164" fontId="17" fillId="0" borderId="33" xfId="67" applyNumberFormat="1" applyBorder="1" applyProtection="1">
      <protection locked="0"/>
    </xf>
    <xf numFmtId="10" fontId="17" fillId="0" borderId="38" xfId="67" applyNumberFormat="1" applyBorder="1" applyProtection="1">
      <protection locked="0"/>
    </xf>
    <xf numFmtId="0" fontId="0" fillId="0" borderId="2" xfId="0" applyBorder="1" applyProtection="1">
      <protection locked="0"/>
    </xf>
    <xf numFmtId="164" fontId="0" fillId="0" borderId="44" xfId="0" applyNumberFormat="1" applyBorder="1" applyProtection="1">
      <protection locked="0"/>
    </xf>
    <xf numFmtId="10" fontId="0" fillId="0" borderId="16" xfId="0" applyNumberFormat="1" applyBorder="1" applyProtection="1">
      <protection locked="0"/>
    </xf>
    <xf numFmtId="0" fontId="0" fillId="0" borderId="45" xfId="0" applyBorder="1" applyProtection="1">
      <protection locked="0"/>
    </xf>
    <xf numFmtId="0" fontId="0" fillId="0" borderId="59" xfId="0" applyBorder="1" applyProtection="1">
      <protection locked="0"/>
    </xf>
    <xf numFmtId="164" fontId="0" fillId="0" borderId="45" xfId="0" applyNumberFormat="1" applyBorder="1" applyProtection="1">
      <protection locked="0"/>
    </xf>
    <xf numFmtId="10" fontId="0" fillId="0" borderId="46" xfId="0" applyNumberFormat="1" applyBorder="1" applyProtection="1">
      <protection locked="0"/>
    </xf>
    <xf numFmtId="0" fontId="0" fillId="0" borderId="47" xfId="0" applyBorder="1" applyProtection="1">
      <protection locked="0"/>
    </xf>
    <xf numFmtId="0" fontId="0" fillId="0" borderId="48" xfId="0" applyBorder="1" applyProtection="1">
      <protection locked="0"/>
    </xf>
    <xf numFmtId="164" fontId="0" fillId="0" borderId="47" xfId="0" applyNumberFormat="1" applyBorder="1" applyProtection="1">
      <protection locked="0"/>
    </xf>
    <xf numFmtId="10" fontId="0" fillId="0" borderId="49" xfId="0" applyNumberFormat="1" applyBorder="1" applyProtection="1">
      <protection locked="0"/>
    </xf>
    <xf numFmtId="0" fontId="0" fillId="0" borderId="50" xfId="0" applyBorder="1" applyProtection="1">
      <protection locked="0"/>
    </xf>
    <xf numFmtId="0" fontId="0" fillId="0" borderId="60" xfId="0" applyBorder="1" applyProtection="1">
      <protection locked="0"/>
    </xf>
    <xf numFmtId="164" fontId="0" fillId="0" borderId="50" xfId="0" applyNumberFormat="1" applyBorder="1" applyProtection="1">
      <protection locked="0"/>
    </xf>
    <xf numFmtId="10" fontId="0" fillId="0" borderId="51" xfId="0" applyNumberFormat="1" applyBorder="1" applyProtection="1">
      <protection locked="0"/>
    </xf>
    <xf numFmtId="0" fontId="30" fillId="0" borderId="0" xfId="60" applyFont="1" applyProtection="1">
      <protection locked="0"/>
    </xf>
    <xf numFmtId="0" fontId="30" fillId="0" borderId="0" xfId="0" applyFont="1" applyProtection="1">
      <protection locked="0"/>
    </xf>
    <xf numFmtId="0" fontId="30" fillId="0" borderId="29" xfId="0" applyFont="1" applyBorder="1" applyProtection="1">
      <protection locked="0"/>
    </xf>
    <xf numFmtId="0" fontId="38" fillId="0" borderId="0" xfId="0" applyFont="1" applyProtection="1">
      <protection locked="0"/>
    </xf>
    <xf numFmtId="0" fontId="31" fillId="0" borderId="0" xfId="60" applyFont="1" applyAlignment="1" applyProtection="1">
      <alignment horizontal="center"/>
      <protection locked="0"/>
    </xf>
    <xf numFmtId="0" fontId="31" fillId="0" borderId="29" xfId="60" applyFont="1" applyBorder="1" applyAlignment="1" applyProtection="1">
      <alignment horizontal="center"/>
      <protection locked="0"/>
    </xf>
    <xf numFmtId="0" fontId="33" fillId="0" borderId="0" xfId="65" applyFont="1" applyAlignment="1" applyProtection="1">
      <alignment horizontal="center"/>
      <protection locked="0"/>
    </xf>
    <xf numFmtId="0" fontId="5" fillId="0" borderId="0" xfId="0" applyFont="1" applyAlignment="1" applyProtection="1">
      <alignment horizontal="center" vertical="center"/>
      <protection locked="0"/>
    </xf>
    <xf numFmtId="0" fontId="24" fillId="0" borderId="0" xfId="0" applyFont="1" applyProtection="1">
      <protection locked="0"/>
    </xf>
    <xf numFmtId="17" fontId="21" fillId="0" borderId="52" xfId="0" quotePrefix="1" applyNumberFormat="1" applyFont="1" applyBorder="1" applyAlignment="1" applyProtection="1">
      <alignment horizontal="center" wrapText="1"/>
      <protection locked="0"/>
    </xf>
    <xf numFmtId="0" fontId="0" fillId="0" borderId="7" xfId="0" applyBorder="1" applyProtection="1">
      <protection locked="0"/>
    </xf>
    <xf numFmtId="0" fontId="24" fillId="0" borderId="7" xfId="0" applyFont="1" applyBorder="1" applyProtection="1">
      <protection locked="0"/>
    </xf>
    <xf numFmtId="164" fontId="25" fillId="8" borderId="0" xfId="68" applyNumberFormat="1" applyFont="1" applyFill="1" applyProtection="1">
      <protection locked="0"/>
    </xf>
    <xf numFmtId="164" fontId="0" fillId="0" borderId="0" xfId="68" applyNumberFormat="1" applyFont="1" applyFill="1" applyProtection="1">
      <protection locked="0"/>
    </xf>
    <xf numFmtId="0" fontId="0" fillId="0" borderId="4" xfId="0" applyBorder="1" applyProtection="1">
      <protection locked="0"/>
    </xf>
    <xf numFmtId="0" fontId="24" fillId="0" borderId="4" xfId="0" applyFont="1" applyBorder="1" applyProtection="1">
      <protection locked="0"/>
    </xf>
    <xf numFmtId="164" fontId="25" fillId="4" borderId="0" xfId="68" applyNumberFormat="1" applyFont="1" applyFill="1" applyProtection="1">
      <protection locked="0"/>
    </xf>
    <xf numFmtId="164" fontId="0" fillId="0" borderId="0" xfId="0" applyNumberFormat="1" applyProtection="1">
      <protection locked="0"/>
    </xf>
    <xf numFmtId="164" fontId="25" fillId="8" borderId="3" xfId="68" applyNumberFormat="1" applyFont="1" applyFill="1" applyBorder="1" applyProtection="1">
      <protection locked="0"/>
    </xf>
    <xf numFmtId="164" fontId="16" fillId="0" borderId="0" xfId="68" applyNumberFormat="1" applyFont="1" applyProtection="1">
      <protection locked="0"/>
    </xf>
    <xf numFmtId="178" fontId="16" fillId="0" borderId="0" xfId="68" applyNumberFormat="1" applyFont="1" applyFill="1" applyProtection="1">
      <protection locked="0"/>
    </xf>
    <xf numFmtId="178" fontId="25" fillId="8" borderId="0" xfId="68" applyNumberFormat="1" applyFont="1" applyFill="1" applyProtection="1">
      <protection locked="0"/>
    </xf>
    <xf numFmtId="0" fontId="5" fillId="0" borderId="0" xfId="0" applyFont="1" applyProtection="1">
      <protection locked="0"/>
    </xf>
    <xf numFmtId="178" fontId="16" fillId="0" borderId="4" xfId="68" applyNumberFormat="1" applyFont="1" applyBorder="1" applyProtection="1">
      <protection locked="0"/>
    </xf>
    <xf numFmtId="164" fontId="16" fillId="0" borderId="8" xfId="68" applyNumberFormat="1" applyFont="1" applyBorder="1" applyProtection="1">
      <protection locked="0"/>
    </xf>
    <xf numFmtId="178" fontId="16" fillId="0" borderId="7" xfId="68" applyNumberFormat="1" applyFont="1" applyFill="1" applyBorder="1" applyProtection="1">
      <protection locked="0"/>
    </xf>
    <xf numFmtId="178" fontId="16" fillId="0" borderId="8" xfId="68" applyNumberFormat="1" applyFont="1" applyFill="1" applyBorder="1" applyProtection="1">
      <protection locked="0"/>
    </xf>
    <xf numFmtId="164" fontId="16" fillId="0" borderId="0" xfId="68" applyNumberFormat="1" applyFont="1" applyFill="1" applyProtection="1">
      <protection locked="0"/>
    </xf>
    <xf numFmtId="164" fontId="16" fillId="0" borderId="7" xfId="68" applyNumberFormat="1" applyFont="1" applyFill="1" applyBorder="1" applyProtection="1">
      <protection locked="0"/>
    </xf>
    <xf numFmtId="164" fontId="16" fillId="0" borderId="8" xfId="68" applyNumberFormat="1" applyFont="1" applyFill="1" applyBorder="1" applyProtection="1">
      <protection locked="0"/>
    </xf>
    <xf numFmtId="0" fontId="21" fillId="0" borderId="0" xfId="0" applyFont="1" applyProtection="1">
      <protection locked="0"/>
    </xf>
    <xf numFmtId="164" fontId="0" fillId="9" borderId="0" xfId="0" applyNumberFormat="1" applyFill="1" applyProtection="1">
      <protection locked="0"/>
    </xf>
    <xf numFmtId="10" fontId="0" fillId="0" borderId="0" xfId="64" applyNumberFormat="1" applyFont="1" applyProtection="1">
      <protection locked="0"/>
    </xf>
    <xf numFmtId="164" fontId="16" fillId="0" borderId="0" xfId="70" applyNumberFormat="1" applyFont="1" applyProtection="1">
      <protection locked="0"/>
    </xf>
    <xf numFmtId="0" fontId="26" fillId="5" borderId="0" xfId="0" applyFont="1" applyFill="1"/>
    <xf numFmtId="0" fontId="31" fillId="0" borderId="0" xfId="60" applyFont="1" applyProtection="1">
      <protection locked="0"/>
    </xf>
    <xf numFmtId="0" fontId="31" fillId="0" borderId="0" xfId="0" applyFont="1" applyAlignment="1">
      <alignment horizontal="left" indent="1"/>
    </xf>
    <xf numFmtId="165" fontId="31" fillId="0" borderId="0" xfId="0" applyNumberFormat="1" applyFont="1"/>
    <xf numFmtId="0" fontId="29" fillId="0" borderId="0" xfId="0" applyFont="1" applyAlignment="1">
      <alignment horizontal="center"/>
    </xf>
    <xf numFmtId="170" fontId="31" fillId="0" borderId="0" xfId="0" applyNumberFormat="1" applyFont="1"/>
    <xf numFmtId="0" fontId="26" fillId="0" borderId="4" xfId="0" applyFont="1" applyBorder="1" applyProtection="1">
      <protection locked="0"/>
    </xf>
    <xf numFmtId="0" fontId="31" fillId="0" borderId="0" xfId="60" applyFont="1" applyAlignment="1" applyProtection="1">
      <alignment horizontal="left"/>
      <protection locked="0"/>
    </xf>
    <xf numFmtId="43" fontId="0" fillId="0" borderId="0" xfId="1" applyFont="1"/>
    <xf numFmtId="43" fontId="0" fillId="0" borderId="1" xfId="1" applyFont="1" applyBorder="1"/>
    <xf numFmtId="0" fontId="31" fillId="5" borderId="0" xfId="60" applyFont="1" applyFill="1"/>
    <xf numFmtId="0" fontId="42" fillId="5" borderId="0" xfId="60" applyFont="1" applyFill="1"/>
    <xf numFmtId="176" fontId="33" fillId="0" borderId="0" xfId="1" applyNumberFormat="1" applyFont="1" applyFill="1" applyBorder="1" applyAlignment="1">
      <alignment horizontal="right"/>
    </xf>
    <xf numFmtId="0" fontId="33" fillId="0" borderId="0" xfId="0" applyFont="1" applyAlignment="1">
      <alignment vertical="top" wrapText="1"/>
    </xf>
    <xf numFmtId="0" fontId="30" fillId="0" borderId="0" xfId="65" applyFont="1" applyAlignment="1">
      <alignment horizontal="center"/>
    </xf>
    <xf numFmtId="0" fontId="33" fillId="0" borderId="0" xfId="65" applyFont="1"/>
    <xf numFmtId="0" fontId="30" fillId="0" borderId="0" xfId="65" applyFont="1" applyProtection="1">
      <protection locked="0"/>
    </xf>
    <xf numFmtId="10" fontId="0" fillId="0" borderId="0" xfId="4" applyNumberFormat="1" applyFont="1"/>
    <xf numFmtId="0" fontId="67" fillId="0" borderId="0" xfId="0" applyFont="1"/>
    <xf numFmtId="42" fontId="33" fillId="0" borderId="0" xfId="2" applyNumberFormat="1" applyFont="1" applyFill="1" applyBorder="1"/>
    <xf numFmtId="42" fontId="33" fillId="0" borderId="1" xfId="2" applyNumberFormat="1" applyFont="1" applyFill="1" applyBorder="1"/>
    <xf numFmtId="42" fontId="33" fillId="0" borderId="8" xfId="2" applyNumberFormat="1" applyFont="1" applyFill="1" applyBorder="1"/>
    <xf numFmtId="42" fontId="33" fillId="0" borderId="9" xfId="2" applyNumberFormat="1" applyFont="1" applyFill="1" applyBorder="1"/>
    <xf numFmtId="41" fontId="33" fillId="0" borderId="0" xfId="2" applyNumberFormat="1" applyFont="1" applyFill="1" applyBorder="1"/>
    <xf numFmtId="41" fontId="33" fillId="0" borderId="1" xfId="2" applyNumberFormat="1" applyFont="1" applyFill="1" applyBorder="1"/>
    <xf numFmtId="41" fontId="33" fillId="0" borderId="7" xfId="2" applyNumberFormat="1" applyFont="1" applyFill="1" applyBorder="1"/>
    <xf numFmtId="41" fontId="33" fillId="0" borderId="10" xfId="2" applyNumberFormat="1" applyFont="1" applyFill="1" applyBorder="1"/>
    <xf numFmtId="41" fontId="33" fillId="0" borderId="4" xfId="2" applyNumberFormat="1" applyFont="1" applyFill="1" applyBorder="1"/>
    <xf numFmtId="41" fontId="33" fillId="0" borderId="11" xfId="2" applyNumberFormat="1" applyFont="1" applyFill="1" applyBorder="1"/>
    <xf numFmtId="41" fontId="33" fillId="0" borderId="3" xfId="2" applyNumberFormat="1" applyFont="1" applyFill="1" applyBorder="1"/>
    <xf numFmtId="41" fontId="33" fillId="0" borderId="2" xfId="2" applyNumberFormat="1" applyFont="1" applyFill="1" applyBorder="1"/>
    <xf numFmtId="37" fontId="26" fillId="3" borderId="0" xfId="0" applyNumberFormat="1" applyFont="1" applyFill="1"/>
    <xf numFmtId="37" fontId="33" fillId="0" borderId="0" xfId="2" applyNumberFormat="1" applyFont="1" applyFill="1" applyBorder="1" applyAlignment="1">
      <alignment horizontal="right"/>
    </xf>
    <xf numFmtId="37" fontId="33" fillId="0" borderId="1" xfId="2" applyNumberFormat="1" applyFont="1" applyFill="1" applyBorder="1" applyAlignment="1">
      <alignment horizontal="right"/>
    </xf>
    <xf numFmtId="37" fontId="33" fillId="0" borderId="6" xfId="2" applyNumberFormat="1" applyFont="1" applyFill="1" applyBorder="1" applyAlignment="1">
      <alignment horizontal="right"/>
    </xf>
    <xf numFmtId="37" fontId="31" fillId="0" borderId="6" xfId="0" applyNumberFormat="1" applyFont="1" applyBorder="1" applyAlignment="1">
      <alignment horizontal="right"/>
    </xf>
    <xf numFmtId="37" fontId="31" fillId="0" borderId="0" xfId="0" applyNumberFormat="1" applyFont="1" applyAlignment="1">
      <alignment horizontal="right"/>
    </xf>
    <xf numFmtId="37" fontId="31" fillId="0" borderId="0" xfId="0" applyNumberFormat="1" applyFont="1"/>
    <xf numFmtId="37" fontId="31" fillId="0" borderId="6" xfId="0" applyNumberFormat="1" applyFont="1" applyBorder="1"/>
    <xf numFmtId="37" fontId="31" fillId="0" borderId="1" xfId="0" applyNumberFormat="1" applyFont="1" applyBorder="1"/>
    <xf numFmtId="37" fontId="0" fillId="0" borderId="0" xfId="0" applyNumberFormat="1"/>
    <xf numFmtId="37" fontId="26" fillId="0" borderId="0" xfId="0" applyNumberFormat="1" applyFont="1"/>
    <xf numFmtId="37" fontId="33" fillId="0" borderId="7" xfId="2" applyNumberFormat="1" applyFont="1" applyFill="1" applyBorder="1" applyAlignment="1">
      <alignment horizontal="right"/>
    </xf>
    <xf numFmtId="37" fontId="33" fillId="0" borderId="10" xfId="2" applyNumberFormat="1" applyFont="1" applyFill="1" applyBorder="1" applyAlignment="1">
      <alignment horizontal="right"/>
    </xf>
    <xf numFmtId="37" fontId="33" fillId="0" borderId="14" xfId="2" applyNumberFormat="1" applyFont="1" applyFill="1" applyBorder="1" applyAlignment="1">
      <alignment horizontal="right"/>
    </xf>
    <xf numFmtId="37" fontId="33" fillId="0" borderId="7" xfId="2" applyNumberFormat="1" applyFont="1" applyFill="1" applyBorder="1"/>
    <xf numFmtId="37" fontId="31" fillId="0" borderId="1" xfId="4" applyNumberFormat="1" applyFont="1" applyFill="1" applyBorder="1" applyAlignment="1">
      <alignment horizontal="right"/>
    </xf>
    <xf numFmtId="37" fontId="31" fillId="0" borderId="0" xfId="4" applyNumberFormat="1" applyFont="1" applyFill="1" applyBorder="1" applyAlignment="1">
      <alignment horizontal="right"/>
    </xf>
    <xf numFmtId="37" fontId="31" fillId="0" borderId="1" xfId="0" applyNumberFormat="1" applyFont="1" applyBorder="1" applyAlignment="1">
      <alignment horizontal="right"/>
    </xf>
    <xf numFmtId="42" fontId="26" fillId="3" borderId="0" xfId="0" applyNumberFormat="1" applyFont="1" applyFill="1"/>
    <xf numFmtId="42" fontId="33" fillId="0" borderId="0" xfId="2" applyNumberFormat="1" applyFont="1" applyFill="1" applyBorder="1" applyAlignment="1">
      <alignment horizontal="right"/>
    </xf>
    <xf numFmtId="42" fontId="33" fillId="0" borderId="1" xfId="2" applyNumberFormat="1" applyFont="1" applyFill="1" applyBorder="1" applyAlignment="1">
      <alignment horizontal="right"/>
    </xf>
    <xf numFmtId="42" fontId="33" fillId="0" borderId="6" xfId="2" applyNumberFormat="1" applyFont="1" applyFill="1" applyBorder="1" applyAlignment="1">
      <alignment horizontal="right"/>
    </xf>
    <xf numFmtId="42" fontId="31" fillId="0" borderId="6" xfId="0" applyNumberFormat="1" applyFont="1" applyBorder="1" applyAlignment="1">
      <alignment horizontal="right"/>
    </xf>
    <xf numFmtId="42" fontId="31" fillId="0" borderId="0" xfId="0" applyNumberFormat="1" applyFont="1" applyAlignment="1">
      <alignment horizontal="right"/>
    </xf>
    <xf numFmtId="42" fontId="31" fillId="0" borderId="0" xfId="0" applyNumberFormat="1" applyFont="1"/>
    <xf numFmtId="42" fontId="31" fillId="0" borderId="6" xfId="0" applyNumberFormat="1" applyFont="1" applyBorder="1"/>
    <xf numFmtId="42" fontId="31" fillId="0" borderId="1" xfId="0" applyNumberFormat="1" applyFont="1" applyBorder="1"/>
    <xf numFmtId="42" fontId="0" fillId="0" borderId="0" xfId="0" applyNumberFormat="1"/>
    <xf numFmtId="42" fontId="26" fillId="0" borderId="0" xfId="0" applyNumberFormat="1" applyFont="1"/>
    <xf numFmtId="42" fontId="26" fillId="3" borderId="0" xfId="0" applyNumberFormat="1" applyFont="1" applyFill="1" applyAlignment="1" applyProtection="1">
      <alignment horizontal="center"/>
      <protection locked="0"/>
    </xf>
    <xf numFmtId="42" fontId="33" fillId="0" borderId="7" xfId="2" applyNumberFormat="1" applyFont="1" applyFill="1" applyBorder="1" applyAlignment="1">
      <alignment horizontal="right"/>
    </xf>
    <xf numFmtId="42" fontId="31" fillId="0" borderId="1" xfId="0" applyNumberFormat="1" applyFont="1" applyBorder="1" applyAlignment="1">
      <alignment horizontal="right"/>
    </xf>
    <xf numFmtId="42" fontId="35" fillId="0" borderId="13" xfId="0" quotePrefix="1" applyNumberFormat="1" applyFont="1" applyBorder="1" applyAlignment="1">
      <alignment horizontal="right"/>
    </xf>
    <xf numFmtId="44" fontId="26" fillId="3" borderId="0" xfId="0" applyNumberFormat="1" applyFont="1" applyFill="1"/>
    <xf numFmtId="44" fontId="31" fillId="0" borderId="6" xfId="0" applyNumberFormat="1" applyFont="1" applyBorder="1" applyAlignment="1">
      <alignment horizontal="right"/>
    </xf>
    <xf numFmtId="44" fontId="31" fillId="0" borderId="0" xfId="0" applyNumberFormat="1" applyFont="1" applyAlignment="1">
      <alignment horizontal="right"/>
    </xf>
    <xf numFmtId="44" fontId="0" fillId="0" borderId="0" xfId="0" applyNumberFormat="1"/>
    <xf numFmtId="44" fontId="26" fillId="0" borderId="0" xfId="0" applyNumberFormat="1" applyFont="1"/>
    <xf numFmtId="44" fontId="33" fillId="0" borderId="0" xfId="2" applyNumberFormat="1" applyFont="1" applyFill="1" applyBorder="1" applyAlignment="1">
      <alignment horizontal="right"/>
    </xf>
    <xf numFmtId="44" fontId="33" fillId="0" borderId="1" xfId="2" applyNumberFormat="1" applyFont="1" applyFill="1" applyBorder="1" applyAlignment="1">
      <alignment horizontal="right"/>
    </xf>
    <xf numFmtId="44" fontId="33" fillId="0" borderId="6" xfId="2" applyNumberFormat="1" applyFont="1" applyFill="1" applyBorder="1" applyAlignment="1">
      <alignment horizontal="right"/>
    </xf>
    <xf numFmtId="44" fontId="31" fillId="0" borderId="1" xfId="4" applyNumberFormat="1" applyFont="1" applyFill="1" applyBorder="1" applyAlignment="1">
      <alignment horizontal="right"/>
    </xf>
    <xf numFmtId="44" fontId="33" fillId="0" borderId="0" xfId="3" applyFont="1" applyFill="1" applyBorder="1" applyAlignment="1">
      <alignment horizontal="right"/>
    </xf>
    <xf numFmtId="44" fontId="31" fillId="0" borderId="1" xfId="0" applyNumberFormat="1" applyFont="1" applyBorder="1" applyAlignment="1">
      <alignment horizontal="right"/>
    </xf>
    <xf numFmtId="41" fontId="26" fillId="3" borderId="0" xfId="0" applyNumberFormat="1" applyFont="1" applyFill="1"/>
    <xf numFmtId="41" fontId="26" fillId="3" borderId="0" xfId="0" applyNumberFormat="1" applyFont="1" applyFill="1" applyAlignment="1">
      <alignment horizontal="center"/>
    </xf>
    <xf numFmtId="41" fontId="33" fillId="0" borderId="0" xfId="2" applyNumberFormat="1" applyFont="1" applyFill="1" applyAlignment="1">
      <alignment horizontal="right"/>
    </xf>
    <xf numFmtId="41" fontId="33" fillId="0" borderId="0" xfId="2" applyNumberFormat="1" applyFont="1" applyFill="1" applyBorder="1" applyAlignment="1">
      <alignment horizontal="right"/>
    </xf>
    <xf numFmtId="41" fontId="33" fillId="0" borderId="1" xfId="2" applyNumberFormat="1" applyFont="1" applyFill="1" applyBorder="1" applyAlignment="1">
      <alignment horizontal="right"/>
    </xf>
    <xf numFmtId="41" fontId="33" fillId="0" borderId="6" xfId="2" applyNumberFormat="1" applyFont="1" applyFill="1" applyBorder="1" applyAlignment="1">
      <alignment horizontal="right"/>
    </xf>
    <xf numFmtId="41" fontId="33" fillId="0" borderId="4" xfId="2" applyNumberFormat="1" applyFont="1" applyFill="1" applyBorder="1" applyAlignment="1">
      <alignment horizontal="right"/>
    </xf>
    <xf numFmtId="41" fontId="31" fillId="0" borderId="6" xfId="0" applyNumberFormat="1" applyFont="1" applyBorder="1" applyAlignment="1">
      <alignment horizontal="right"/>
    </xf>
    <xf numFmtId="41" fontId="31" fillId="0" borderId="0" xfId="0" applyNumberFormat="1" applyFont="1" applyAlignment="1">
      <alignment horizontal="right"/>
    </xf>
    <xf numFmtId="41" fontId="0" fillId="0" borderId="0" xfId="0" applyNumberFormat="1"/>
    <xf numFmtId="41" fontId="26" fillId="0" borderId="0" xfId="0" applyNumberFormat="1" applyFont="1"/>
    <xf numFmtId="192" fontId="33" fillId="0" borderId="0" xfId="2" applyNumberFormat="1" applyFont="1" applyFill="1" applyBorder="1" applyAlignment="1">
      <alignment horizontal="right"/>
    </xf>
    <xf numFmtId="192" fontId="33" fillId="0" borderId="7" xfId="2" applyNumberFormat="1" applyFont="1" applyFill="1" applyBorder="1" applyAlignment="1">
      <alignment horizontal="right"/>
    </xf>
    <xf numFmtId="192" fontId="31" fillId="0" borderId="0" xfId="0" applyNumberFormat="1" applyFont="1" applyAlignment="1">
      <alignment horizontal="right"/>
    </xf>
    <xf numFmtId="192" fontId="26" fillId="0" borderId="0" xfId="0" applyNumberFormat="1" applyFont="1"/>
    <xf numFmtId="192" fontId="26" fillId="0" borderId="0" xfId="0" applyNumberFormat="1" applyFont="1" applyAlignment="1">
      <alignment horizontal="right"/>
    </xf>
    <xf numFmtId="192" fontId="30" fillId="0" borderId="0" xfId="0" quotePrefix="1" applyNumberFormat="1" applyFont="1" applyAlignment="1">
      <alignment horizontal="right" wrapText="1"/>
    </xf>
    <xf numFmtId="192" fontId="31" fillId="0" borderId="7" xfId="0" applyNumberFormat="1" applyFont="1" applyBorder="1" applyAlignment="1">
      <alignment horizontal="right"/>
    </xf>
    <xf numFmtId="192" fontId="26" fillId="3" borderId="0" xfId="0" applyNumberFormat="1" applyFont="1" applyFill="1"/>
    <xf numFmtId="192" fontId="31" fillId="0" borderId="0" xfId="4" applyNumberFormat="1" applyFont="1" applyFill="1" applyBorder="1" applyAlignment="1">
      <alignment horizontal="right"/>
    </xf>
    <xf numFmtId="192" fontId="31" fillId="0" borderId="1" xfId="4" applyNumberFormat="1" applyFont="1" applyFill="1" applyBorder="1" applyAlignment="1">
      <alignment horizontal="right"/>
    </xf>
    <xf numFmtId="192" fontId="31" fillId="0" borderId="6" xfId="4" applyNumberFormat="1" applyFont="1" applyFill="1" applyBorder="1" applyAlignment="1">
      <alignment horizontal="right"/>
    </xf>
    <xf numFmtId="192" fontId="33" fillId="0" borderId="0" xfId="4" applyNumberFormat="1" applyFont="1" applyFill="1" applyBorder="1" applyAlignment="1">
      <alignment horizontal="right"/>
    </xf>
    <xf numFmtId="192" fontId="31" fillId="0" borderId="1" xfId="0" applyNumberFormat="1" applyFont="1" applyBorder="1" applyAlignment="1">
      <alignment horizontal="right"/>
    </xf>
    <xf numFmtId="192" fontId="31" fillId="0" borderId="6" xfId="0" applyNumberFormat="1" applyFont="1" applyBorder="1" applyAlignment="1">
      <alignment horizontal="right"/>
    </xf>
    <xf numFmtId="192" fontId="0" fillId="0" borderId="0" xfId="0" applyNumberFormat="1"/>
    <xf numFmtId="192" fontId="33" fillId="0" borderId="0" xfId="0" applyNumberFormat="1" applyFont="1" applyAlignment="1">
      <alignment horizontal="right"/>
    </xf>
    <xf numFmtId="49" fontId="26" fillId="0" borderId="12" xfId="0" applyNumberFormat="1" applyFont="1" applyBorder="1" applyAlignment="1">
      <alignment vertical="center"/>
    </xf>
    <xf numFmtId="49" fontId="26" fillId="0" borderId="0" xfId="0" applyNumberFormat="1" applyFont="1"/>
    <xf numFmtId="49" fontId="31" fillId="0" borderId="0" xfId="0" applyNumberFormat="1" applyFont="1"/>
    <xf numFmtId="49" fontId="26" fillId="3" borderId="0" xfId="0" applyNumberFormat="1" applyFont="1" applyFill="1"/>
    <xf numFmtId="49" fontId="30" fillId="0" borderId="0" xfId="0" quotePrefix="1" applyNumberFormat="1" applyFont="1" applyAlignment="1">
      <alignment wrapText="1"/>
    </xf>
    <xf numFmtId="49" fontId="31" fillId="0" borderId="6" xfId="0" applyNumberFormat="1" applyFont="1" applyBorder="1"/>
    <xf numFmtId="49" fontId="35" fillId="0" borderId="13" xfId="0" quotePrefix="1" applyNumberFormat="1" applyFont="1" applyBorder="1" applyAlignment="1">
      <alignment horizontal="centerContinuous"/>
    </xf>
    <xf numFmtId="49" fontId="31" fillId="0" borderId="1" xfId="0" applyNumberFormat="1" applyFont="1" applyBorder="1"/>
    <xf numFmtId="49" fontId="0" fillId="0" borderId="0" xfId="0" applyNumberFormat="1"/>
    <xf numFmtId="49" fontId="30" fillId="0" borderId="4" xfId="0" quotePrefix="1" applyNumberFormat="1" applyFont="1" applyBorder="1" applyAlignment="1">
      <alignment horizontal="center" wrapText="1"/>
    </xf>
    <xf numFmtId="49" fontId="30" fillId="0" borderId="11" xfId="0" quotePrefix="1" applyNumberFormat="1" applyFont="1" applyBorder="1" applyAlignment="1">
      <alignment horizontal="center" wrapText="1"/>
    </xf>
    <xf numFmtId="49" fontId="30" fillId="0" borderId="5" xfId="0" quotePrefix="1" applyNumberFormat="1" applyFont="1" applyBorder="1" applyAlignment="1">
      <alignment horizontal="center" wrapText="1"/>
    </xf>
    <xf numFmtId="184" fontId="26" fillId="3" borderId="0" xfId="1" applyNumberFormat="1" applyFont="1" applyFill="1" applyAlignment="1" applyProtection="1">
      <alignment horizontal="center"/>
      <protection locked="0"/>
    </xf>
    <xf numFmtId="49" fontId="26" fillId="3" borderId="0" xfId="0" applyNumberFormat="1" applyFont="1" applyFill="1" applyAlignment="1">
      <alignment vertical="center"/>
    </xf>
    <xf numFmtId="49" fontId="26" fillId="0" borderId="0" xfId="0" applyNumberFormat="1" applyFont="1" applyAlignment="1">
      <alignment vertical="center"/>
    </xf>
    <xf numFmtId="42" fontId="33" fillId="0" borderId="0" xfId="4" applyNumberFormat="1" applyFont="1" applyFill="1" applyBorder="1" applyAlignment="1">
      <alignment horizontal="right"/>
    </xf>
    <xf numFmtId="42" fontId="33" fillId="0" borderId="8" xfId="2" applyNumberFormat="1" applyFont="1" applyFill="1" applyBorder="1" applyAlignment="1">
      <alignment horizontal="right"/>
    </xf>
    <xf numFmtId="42" fontId="33" fillId="0" borderId="9" xfId="2" applyNumberFormat="1" applyFont="1" applyFill="1" applyBorder="1" applyAlignment="1">
      <alignment horizontal="right"/>
    </xf>
    <xf numFmtId="41" fontId="33" fillId="0" borderId="0" xfId="4" applyNumberFormat="1" applyFont="1" applyFill="1" applyBorder="1" applyAlignment="1">
      <alignment horizontal="right"/>
    </xf>
    <xf numFmtId="41" fontId="35" fillId="0" borderId="13" xfId="0" quotePrefix="1" applyNumberFormat="1" applyFont="1" applyBorder="1" applyAlignment="1">
      <alignment horizontal="right"/>
    </xf>
    <xf numFmtId="41" fontId="33" fillId="0" borderId="7" xfId="2" applyNumberFormat="1" applyFont="1" applyFill="1" applyBorder="1" applyAlignment="1">
      <alignment horizontal="right"/>
    </xf>
    <xf numFmtId="41" fontId="33" fillId="0" borderId="10" xfId="2" applyNumberFormat="1" applyFont="1" applyFill="1" applyBorder="1" applyAlignment="1">
      <alignment horizontal="right"/>
    </xf>
    <xf numFmtId="41" fontId="47" fillId="0" borderId="0" xfId="2" applyNumberFormat="1" applyFont="1" applyFill="1" applyBorder="1" applyAlignment="1">
      <alignment horizontal="right"/>
    </xf>
    <xf numFmtId="41" fontId="33" fillId="0" borderId="3" xfId="2" applyNumberFormat="1" applyFont="1" applyFill="1" applyBorder="1" applyAlignment="1">
      <alignment horizontal="right"/>
    </xf>
    <xf numFmtId="41" fontId="33" fillId="0" borderId="2" xfId="2" applyNumberFormat="1" applyFont="1" applyFill="1" applyBorder="1" applyAlignment="1">
      <alignment horizontal="right"/>
    </xf>
    <xf numFmtId="41" fontId="26" fillId="3" borderId="0" xfId="0" applyNumberFormat="1" applyFont="1" applyFill="1" applyAlignment="1" applyProtection="1">
      <alignment horizontal="center"/>
      <protection locked="0"/>
    </xf>
    <xf numFmtId="41" fontId="33" fillId="0" borderId="11" xfId="2" applyNumberFormat="1" applyFont="1" applyFill="1" applyBorder="1" applyAlignment="1">
      <alignment horizontal="right"/>
    </xf>
    <xf numFmtId="192" fontId="26" fillId="0" borderId="4" xfId="0" applyNumberFormat="1" applyFont="1" applyBorder="1" applyAlignment="1">
      <alignment horizontal="right"/>
    </xf>
    <xf numFmtId="192" fontId="0" fillId="0" borderId="0" xfId="0" applyNumberFormat="1" applyAlignment="1">
      <alignment horizontal="right"/>
    </xf>
    <xf numFmtId="49" fontId="26" fillId="0" borderId="4" xfId="0" applyNumberFormat="1" applyFont="1" applyBorder="1"/>
    <xf numFmtId="49" fontId="33" fillId="0" borderId="0" xfId="0" applyNumberFormat="1" applyFont="1"/>
    <xf numFmtId="49" fontId="26" fillId="0" borderId="0" xfId="0" applyNumberFormat="1" applyFont="1" applyAlignment="1">
      <alignment horizontal="right"/>
    </xf>
    <xf numFmtId="49" fontId="30" fillId="0" borderId="0" xfId="0" quotePrefix="1" applyNumberFormat="1" applyFont="1" applyAlignment="1">
      <alignment horizontal="center" wrapText="1"/>
    </xf>
    <xf numFmtId="49" fontId="30" fillId="0" borderId="6" xfId="0" quotePrefix="1" applyNumberFormat="1" applyFont="1" applyBorder="1" applyAlignment="1">
      <alignment horizontal="center" wrapText="1"/>
    </xf>
    <xf numFmtId="49" fontId="30" fillId="0" borderId="3" xfId="0" quotePrefix="1" applyNumberFormat="1" applyFont="1" applyBorder="1" applyAlignment="1">
      <alignment horizontal="center" wrapText="1"/>
    </xf>
    <xf numFmtId="193" fontId="26" fillId="3" borderId="0" xfId="1" applyNumberFormat="1" applyFont="1" applyFill="1" applyAlignment="1" applyProtection="1">
      <alignment horizontal="center"/>
      <protection locked="0"/>
    </xf>
    <xf numFmtId="49" fontId="33" fillId="0" borderId="0" xfId="0" applyNumberFormat="1" applyFont="1" applyAlignment="1">
      <alignment horizontal="right"/>
    </xf>
    <xf numFmtId="192" fontId="33" fillId="0" borderId="4" xfId="0" applyNumberFormat="1" applyFont="1" applyBorder="1" applyAlignment="1">
      <alignment horizontal="right"/>
    </xf>
    <xf numFmtId="42" fontId="33" fillId="0" borderId="0" xfId="0" applyNumberFormat="1" applyFont="1" applyAlignment="1">
      <alignment horizontal="right"/>
    </xf>
    <xf numFmtId="42" fontId="35" fillId="0" borderId="6" xfId="0" quotePrefix="1" applyNumberFormat="1" applyFont="1" applyBorder="1" applyAlignment="1">
      <alignment horizontal="right"/>
    </xf>
    <xf numFmtId="42" fontId="31" fillId="0" borderId="8" xfId="0" applyNumberFormat="1" applyFont="1" applyBorder="1" applyAlignment="1">
      <alignment horizontal="right"/>
    </xf>
    <xf numFmtId="42" fontId="31" fillId="0" borderId="9" xfId="0" applyNumberFormat="1" applyFont="1" applyBorder="1" applyAlignment="1">
      <alignment horizontal="right"/>
    </xf>
    <xf numFmtId="42" fontId="33" fillId="0" borderId="8" xfId="0" applyNumberFormat="1" applyFont="1" applyBorder="1" applyAlignment="1">
      <alignment horizontal="right"/>
    </xf>
    <xf numFmtId="41" fontId="35" fillId="0" borderId="6" xfId="0" quotePrefix="1" applyNumberFormat="1" applyFont="1" applyBorder="1" applyAlignment="1">
      <alignment horizontal="right"/>
    </xf>
    <xf numFmtId="41" fontId="33" fillId="16" borderId="0" xfId="2" applyNumberFormat="1" applyFont="1" applyFill="1" applyBorder="1"/>
    <xf numFmtId="192" fontId="47" fillId="0" borderId="0" xfId="0" applyNumberFormat="1" applyFont="1" applyAlignment="1">
      <alignment horizontal="right"/>
    </xf>
    <xf numFmtId="192" fontId="30" fillId="0" borderId="0" xfId="0" applyNumberFormat="1" applyFont="1" applyAlignment="1">
      <alignment horizontal="right" wrapText="1"/>
    </xf>
    <xf numFmtId="192" fontId="30" fillId="0" borderId="7" xfId="0" applyNumberFormat="1" applyFont="1" applyBorder="1" applyAlignment="1">
      <alignment horizontal="right" wrapText="1"/>
    </xf>
    <xf numFmtId="49" fontId="33" fillId="0" borderId="0" xfId="2" applyNumberFormat="1" applyFont="1" applyFill="1" applyBorder="1"/>
    <xf numFmtId="49" fontId="35" fillId="0" borderId="6" xfId="0" quotePrefix="1" applyNumberFormat="1" applyFont="1" applyBorder="1" applyAlignment="1">
      <alignment horizontal="centerContinuous"/>
    </xf>
    <xf numFmtId="49" fontId="35" fillId="0" borderId="6" xfId="0" quotePrefix="1" applyNumberFormat="1" applyFont="1" applyBorder="1" applyAlignment="1">
      <alignment horizontal="center"/>
    </xf>
    <xf numFmtId="49" fontId="30" fillId="0" borderId="7" xfId="0" quotePrefix="1" applyNumberFormat="1" applyFont="1" applyBorder="1" applyAlignment="1">
      <alignment horizontal="center" wrapText="1"/>
    </xf>
    <xf numFmtId="49" fontId="35" fillId="0" borderId="13" xfId="0" quotePrefix="1" applyNumberFormat="1" applyFont="1" applyBorder="1" applyAlignment="1">
      <alignment horizontal="center"/>
    </xf>
    <xf numFmtId="49" fontId="31" fillId="0" borderId="0" xfId="0" quotePrefix="1" applyNumberFormat="1" applyFont="1" applyAlignment="1">
      <alignment horizontal="left"/>
    </xf>
    <xf numFmtId="42" fontId="30" fillId="0" borderId="6" xfId="0" quotePrefix="1" applyNumberFormat="1" applyFont="1" applyBorder="1" applyAlignment="1">
      <alignment horizontal="right" wrapText="1"/>
    </xf>
    <xf numFmtId="42" fontId="31" fillId="0" borderId="13" xfId="0" applyNumberFormat="1" applyFont="1" applyBorder="1" applyAlignment="1">
      <alignment horizontal="right"/>
    </xf>
    <xf numFmtId="42" fontId="33" fillId="0" borderId="13" xfId="2" applyNumberFormat="1" applyFont="1" applyFill="1" applyBorder="1" applyAlignment="1">
      <alignment horizontal="right"/>
    </xf>
    <xf numFmtId="42" fontId="30" fillId="0" borderId="13" xfId="0" quotePrefix="1" applyNumberFormat="1" applyFont="1" applyBorder="1" applyAlignment="1">
      <alignment horizontal="right" wrapText="1"/>
    </xf>
    <xf numFmtId="41" fontId="33" fillId="0" borderId="6" xfId="0" applyNumberFormat="1" applyFont="1" applyBorder="1" applyAlignment="1">
      <alignment horizontal="right"/>
    </xf>
    <xf numFmtId="41" fontId="33" fillId="0" borderId="13" xfId="0" applyNumberFormat="1" applyFont="1" applyBorder="1" applyAlignment="1">
      <alignment horizontal="right"/>
    </xf>
    <xf numFmtId="41" fontId="33" fillId="0" borderId="13" xfId="2" applyNumberFormat="1" applyFont="1" applyFill="1" applyBorder="1" applyAlignment="1">
      <alignment horizontal="right"/>
    </xf>
    <xf numFmtId="41" fontId="30" fillId="0" borderId="6" xfId="0" quotePrefix="1" applyNumberFormat="1" applyFont="1" applyBorder="1" applyAlignment="1">
      <alignment horizontal="right" wrapText="1"/>
    </xf>
    <xf numFmtId="41" fontId="30" fillId="0" borderId="13" xfId="0" quotePrefix="1" applyNumberFormat="1" applyFont="1" applyBorder="1" applyAlignment="1">
      <alignment horizontal="right" wrapText="1"/>
    </xf>
    <xf numFmtId="49" fontId="31" fillId="0" borderId="0" xfId="0" applyNumberFormat="1" applyFont="1" applyAlignment="1">
      <alignment horizontal="left"/>
    </xf>
    <xf numFmtId="49" fontId="29" fillId="0" borderId="0" xfId="0" quotePrefix="1" applyNumberFormat="1" applyFont="1" applyAlignment="1">
      <alignment horizontal="left"/>
    </xf>
    <xf numFmtId="41" fontId="31" fillId="0" borderId="13" xfId="0" applyNumberFormat="1" applyFont="1" applyBorder="1" applyAlignment="1">
      <alignment horizontal="right"/>
    </xf>
    <xf numFmtId="41" fontId="33" fillId="0" borderId="8" xfId="2" applyNumberFormat="1" applyFont="1" applyFill="1" applyBorder="1" applyAlignment="1">
      <alignment horizontal="right"/>
    </xf>
    <xf numFmtId="41" fontId="33" fillId="0" borderId="9" xfId="2" applyNumberFormat="1" applyFont="1" applyFill="1" applyBorder="1" applyAlignment="1">
      <alignment horizontal="right"/>
    </xf>
    <xf numFmtId="194" fontId="26" fillId="3" borderId="0" xfId="0" applyNumberFormat="1" applyFont="1" applyFill="1"/>
    <xf numFmtId="194" fontId="33" fillId="0" borderId="0" xfId="2" applyNumberFormat="1" applyFont="1" applyFill="1" applyBorder="1" applyAlignment="1">
      <alignment horizontal="right"/>
    </xf>
    <xf numFmtId="194" fontId="33" fillId="0" borderId="1" xfId="2" applyNumberFormat="1" applyFont="1" applyFill="1" applyBorder="1" applyAlignment="1">
      <alignment horizontal="right"/>
    </xf>
    <xf numFmtId="194" fontId="30" fillId="0" borderId="6" xfId="0" quotePrefix="1" applyNumberFormat="1" applyFont="1" applyBorder="1" applyAlignment="1">
      <alignment horizontal="right" wrapText="1"/>
    </xf>
    <xf numFmtId="194" fontId="31" fillId="0" borderId="0" xfId="0" applyNumberFormat="1" applyFont="1" applyAlignment="1">
      <alignment horizontal="right"/>
    </xf>
    <xf numFmtId="194" fontId="31" fillId="0" borderId="13" xfId="0" applyNumberFormat="1" applyFont="1" applyBorder="1" applyAlignment="1">
      <alignment horizontal="right"/>
    </xf>
    <xf numFmtId="194" fontId="0" fillId="0" borderId="0" xfId="0" applyNumberFormat="1"/>
    <xf numFmtId="194" fontId="26" fillId="0" borderId="0" xfId="0" applyNumberFormat="1" applyFont="1"/>
    <xf numFmtId="194" fontId="33" fillId="0" borderId="8" xfId="2" applyNumberFormat="1" applyFont="1" applyFill="1" applyBorder="1" applyAlignment="1">
      <alignment horizontal="right"/>
    </xf>
    <xf numFmtId="194" fontId="33" fillId="0" borderId="9" xfId="2" applyNumberFormat="1" applyFont="1" applyFill="1" applyBorder="1" applyAlignment="1">
      <alignment horizontal="right"/>
    </xf>
    <xf numFmtId="195" fontId="26" fillId="3" borderId="0" xfId="0" applyNumberFormat="1" applyFont="1" applyFill="1"/>
    <xf numFmtId="195" fontId="33" fillId="0" borderId="0" xfId="2" applyNumberFormat="1" applyFont="1" applyFill="1" applyBorder="1" applyAlignment="1">
      <alignment horizontal="right"/>
    </xf>
    <xf numFmtId="195" fontId="33" fillId="0" borderId="1" xfId="2" applyNumberFormat="1" applyFont="1" applyFill="1" applyBorder="1" applyAlignment="1">
      <alignment horizontal="right"/>
    </xf>
    <xf numFmtId="195" fontId="30" fillId="0" borderId="6" xfId="0" quotePrefix="1" applyNumberFormat="1" applyFont="1" applyBorder="1" applyAlignment="1">
      <alignment horizontal="right" wrapText="1"/>
    </xf>
    <xf numFmtId="195" fontId="31" fillId="0" borderId="0" xfId="0" applyNumberFormat="1" applyFont="1" applyAlignment="1">
      <alignment horizontal="right"/>
    </xf>
    <xf numFmtId="195" fontId="31" fillId="0" borderId="13" xfId="0" applyNumberFormat="1" applyFont="1" applyBorder="1" applyAlignment="1">
      <alignment horizontal="right"/>
    </xf>
    <xf numFmtId="195" fontId="0" fillId="0" borderId="0" xfId="0" applyNumberFormat="1"/>
    <xf numFmtId="195" fontId="26" fillId="0" borderId="0" xfId="0" applyNumberFormat="1" applyFont="1"/>
    <xf numFmtId="49" fontId="35" fillId="0" borderId="0" xfId="0" quotePrefix="1" applyNumberFormat="1" applyFont="1" applyAlignment="1">
      <alignment horizontal="centerContinuous"/>
    </xf>
    <xf numFmtId="49" fontId="30" fillId="0" borderId="0" xfId="0" quotePrefix="1" applyNumberFormat="1" applyFont="1" applyAlignment="1">
      <alignment horizontal="centerContinuous"/>
    </xf>
    <xf numFmtId="49" fontId="31" fillId="0" borderId="13" xfId="0" applyNumberFormat="1" applyFont="1" applyBorder="1"/>
    <xf numFmtId="42" fontId="33" fillId="0" borderId="6" xfId="0" applyNumberFormat="1" applyFont="1" applyBorder="1" applyAlignment="1">
      <alignment horizontal="right"/>
    </xf>
    <xf numFmtId="42" fontId="33" fillId="0" borderId="10" xfId="2" applyNumberFormat="1" applyFont="1" applyFill="1" applyBorder="1" applyAlignment="1">
      <alignment horizontal="right"/>
    </xf>
    <xf numFmtId="196" fontId="26" fillId="3" borderId="0" xfId="0" applyNumberFormat="1" applyFont="1" applyFill="1"/>
    <xf numFmtId="196" fontId="0" fillId="0" borderId="0" xfId="0" applyNumberFormat="1"/>
    <xf numFmtId="196" fontId="26" fillId="0" borderId="0" xfId="0" applyNumberFormat="1" applyFont="1"/>
    <xf numFmtId="197" fontId="26" fillId="3" borderId="0" xfId="0" applyNumberFormat="1" applyFont="1" applyFill="1"/>
    <xf numFmtId="197" fontId="33" fillId="0" borderId="0" xfId="2" applyNumberFormat="1" applyFont="1" applyFill="1" applyBorder="1" applyAlignment="1">
      <alignment horizontal="right"/>
    </xf>
    <xf numFmtId="197" fontId="33" fillId="0" borderId="1" xfId="2" applyNumberFormat="1" applyFont="1" applyFill="1" applyBorder="1" applyAlignment="1">
      <alignment horizontal="right"/>
    </xf>
    <xf numFmtId="197" fontId="31" fillId="0" borderId="6" xfId="0" applyNumberFormat="1" applyFont="1" applyBorder="1" applyAlignment="1">
      <alignment horizontal="right"/>
    </xf>
    <xf numFmtId="197" fontId="31" fillId="0" borderId="0" xfId="0" applyNumberFormat="1" applyFont="1" applyAlignment="1">
      <alignment horizontal="right"/>
    </xf>
    <xf numFmtId="197" fontId="31" fillId="0" borderId="13" xfId="0" applyNumberFormat="1" applyFont="1" applyBorder="1" applyAlignment="1">
      <alignment horizontal="right"/>
    </xf>
    <xf numFmtId="197" fontId="0" fillId="0" borderId="0" xfId="0" applyNumberFormat="1"/>
    <xf numFmtId="197" fontId="26" fillId="0" borderId="0" xfId="0" applyNumberFormat="1" applyFont="1"/>
    <xf numFmtId="198" fontId="26" fillId="3" borderId="0" xfId="0" applyNumberFormat="1" applyFont="1" applyFill="1"/>
    <xf numFmtId="198" fontId="0" fillId="0" borderId="0" xfId="0" applyNumberFormat="1"/>
    <xf numFmtId="198" fontId="26" fillId="0" borderId="0" xfId="0" applyNumberFormat="1" applyFont="1"/>
    <xf numFmtId="199" fontId="26" fillId="3" borderId="0" xfId="0" applyNumberFormat="1" applyFont="1" applyFill="1"/>
    <xf numFmtId="199" fontId="0" fillId="0" borderId="0" xfId="0" applyNumberFormat="1"/>
    <xf numFmtId="199" fontId="26" fillId="0" borderId="0" xfId="0" applyNumberFormat="1" applyFont="1"/>
    <xf numFmtId="49" fontId="31" fillId="0" borderId="0" xfId="0" quotePrefix="1" applyNumberFormat="1" applyFont="1" applyAlignment="1">
      <alignment horizontal="center"/>
    </xf>
    <xf numFmtId="49" fontId="33" fillId="0" borderId="0" xfId="0" quotePrefix="1" applyNumberFormat="1" applyFont="1" applyAlignment="1">
      <alignment horizontal="center"/>
    </xf>
    <xf numFmtId="49" fontId="31" fillId="0" borderId="13" xfId="0" applyNumberFormat="1" applyFont="1" applyBorder="1" applyAlignment="1">
      <alignment horizontal="right"/>
    </xf>
    <xf numFmtId="49" fontId="31" fillId="0" borderId="0" xfId="0" applyNumberFormat="1" applyFont="1" applyAlignment="1">
      <alignment horizontal="right"/>
    </xf>
    <xf numFmtId="49" fontId="35" fillId="0" borderId="0" xfId="0" applyNumberFormat="1" applyFont="1" applyAlignment="1">
      <alignment horizontal="center"/>
    </xf>
    <xf numFmtId="194" fontId="31" fillId="0" borderId="6" xfId="0" applyNumberFormat="1" applyFont="1" applyBorder="1" applyAlignment="1">
      <alignment horizontal="right"/>
    </xf>
    <xf numFmtId="200" fontId="26" fillId="3" borderId="0" xfId="0" applyNumberFormat="1" applyFont="1" applyFill="1"/>
    <xf numFmtId="200" fontId="33" fillId="0" borderId="0" xfId="2" applyNumberFormat="1" applyFont="1" applyFill="1" applyBorder="1" applyAlignment="1">
      <alignment horizontal="right"/>
    </xf>
    <xf numFmtId="200" fontId="33" fillId="0" borderId="1" xfId="2" applyNumberFormat="1" applyFont="1" applyFill="1" applyBorder="1" applyAlignment="1">
      <alignment horizontal="right"/>
    </xf>
    <xf numFmtId="200" fontId="31" fillId="0" borderId="6" xfId="0" applyNumberFormat="1" applyFont="1" applyBorder="1" applyAlignment="1">
      <alignment horizontal="right"/>
    </xf>
    <xf numFmtId="200" fontId="31" fillId="0" borderId="0" xfId="0" applyNumberFormat="1" applyFont="1" applyAlignment="1">
      <alignment horizontal="right"/>
    </xf>
    <xf numFmtId="200" fontId="31" fillId="0" borderId="13" xfId="0" applyNumberFormat="1" applyFont="1" applyBorder="1" applyAlignment="1">
      <alignment horizontal="right"/>
    </xf>
    <xf numFmtId="200" fontId="0" fillId="0" borderId="0" xfId="0" applyNumberFormat="1"/>
    <xf numFmtId="200" fontId="26" fillId="0" borderId="0" xfId="0" applyNumberFormat="1" applyFont="1"/>
    <xf numFmtId="200" fontId="33" fillId="0" borderId="7" xfId="2" applyNumberFormat="1" applyFont="1" applyFill="1" applyBorder="1" applyAlignment="1">
      <alignment horizontal="right"/>
    </xf>
    <xf numFmtId="200" fontId="33" fillId="0" borderId="10" xfId="2" applyNumberFormat="1" applyFont="1" applyFill="1" applyBorder="1" applyAlignment="1">
      <alignment horizontal="right"/>
    </xf>
    <xf numFmtId="192" fontId="26" fillId="0" borderId="0" xfId="1" applyNumberFormat="1" applyFont="1" applyAlignment="1">
      <alignment horizontal="right"/>
    </xf>
    <xf numFmtId="41" fontId="31" fillId="0" borderId="6" xfId="1" applyNumberFormat="1" applyFont="1" applyFill="1" applyBorder="1" applyAlignment="1">
      <alignment horizontal="right"/>
    </xf>
    <xf numFmtId="41" fontId="31" fillId="0" borderId="13" xfId="1" applyNumberFormat="1" applyFont="1" applyFill="1" applyBorder="1" applyAlignment="1">
      <alignment horizontal="right"/>
    </xf>
    <xf numFmtId="42" fontId="33" fillId="0" borderId="0" xfId="63" applyNumberFormat="1" applyFont="1" applyFill="1" applyBorder="1"/>
    <xf numFmtId="42" fontId="33" fillId="0" borderId="0" xfId="60" applyNumberFormat="1" applyFont="1"/>
    <xf numFmtId="42" fontId="33" fillId="0" borderId="8" xfId="63" applyNumberFormat="1" applyFont="1" applyFill="1" applyBorder="1"/>
    <xf numFmtId="42" fontId="33" fillId="0" borderId="0" xfId="63" applyNumberFormat="1" applyFont="1" applyFill="1" applyBorder="1" applyAlignment="1"/>
    <xf numFmtId="42" fontId="33" fillId="0" borderId="8" xfId="63" applyNumberFormat="1" applyFont="1" applyFill="1" applyBorder="1" applyAlignment="1"/>
    <xf numFmtId="41" fontId="33" fillId="0" borderId="0" xfId="1" applyNumberFormat="1" applyFont="1" applyFill="1" applyBorder="1" applyAlignment="1"/>
    <xf numFmtId="41" fontId="33" fillId="0" borderId="0" xfId="1" applyNumberFormat="1" applyFont="1" applyFill="1" applyBorder="1"/>
    <xf numFmtId="41" fontId="33" fillId="0" borderId="3" xfId="1" applyNumberFormat="1" applyFont="1" applyFill="1" applyBorder="1"/>
    <xf numFmtId="41" fontId="44" fillId="0" borderId="0" xfId="1" applyNumberFormat="1" applyFont="1" applyFill="1" applyBorder="1" applyAlignment="1">
      <alignment horizontal="center"/>
    </xf>
    <xf numFmtId="41" fontId="29" fillId="0" borderId="0" xfId="1" applyNumberFormat="1" applyFont="1" applyFill="1" applyBorder="1" applyAlignment="1">
      <alignment horizontal="center"/>
    </xf>
    <xf numFmtId="41" fontId="50" fillId="0" borderId="0" xfId="1" applyNumberFormat="1" applyFont="1" applyFill="1" applyBorder="1"/>
    <xf numFmtId="192" fontId="33" fillId="0" borderId="0" xfId="4" applyNumberFormat="1" applyFont="1" applyFill="1" applyBorder="1"/>
    <xf numFmtId="192" fontId="33" fillId="0" borderId="0" xfId="4" applyNumberFormat="1" applyFont="1" applyFill="1"/>
    <xf numFmtId="192" fontId="33" fillId="0" borderId="0" xfId="60" applyNumberFormat="1" applyFont="1"/>
    <xf numFmtId="192" fontId="33" fillId="0" borderId="3" xfId="4" applyNumberFormat="1" applyFont="1" applyFill="1" applyBorder="1"/>
    <xf numFmtId="192" fontId="50" fillId="0" borderId="0" xfId="60" applyNumberFormat="1" applyFont="1"/>
    <xf numFmtId="192" fontId="50" fillId="0" borderId="0" xfId="4" applyNumberFormat="1" applyFont="1" applyFill="1" applyBorder="1"/>
    <xf numFmtId="192" fontId="33" fillId="0" borderId="8" xfId="4" applyNumberFormat="1" applyFont="1" applyFill="1" applyBorder="1"/>
    <xf numFmtId="192" fontId="31" fillId="0" borderId="0" xfId="60" applyNumberFormat="1" applyFont="1"/>
    <xf numFmtId="192" fontId="40" fillId="0" borderId="0" xfId="60" applyNumberFormat="1" applyFont="1" applyAlignment="1">
      <alignment horizontal="left"/>
    </xf>
    <xf numFmtId="192" fontId="47" fillId="0" borderId="0" xfId="4" applyNumberFormat="1" applyFont="1" applyFill="1"/>
    <xf numFmtId="192" fontId="31" fillId="0" borderId="0" xfId="64" applyNumberFormat="1" applyFont="1" applyFill="1"/>
    <xf numFmtId="49" fontId="29" fillId="0" borderId="0" xfId="60" quotePrefix="1" applyNumberFormat="1" applyFont="1" applyAlignment="1">
      <alignment horizontal="left"/>
    </xf>
    <xf numFmtId="49" fontId="30" fillId="0" borderId="0" xfId="60" applyNumberFormat="1" applyFont="1" applyAlignment="1">
      <alignment horizontal="centerContinuous"/>
    </xf>
    <xf numFmtId="49" fontId="31" fillId="0" borderId="0" xfId="60" applyNumberFormat="1" applyFont="1"/>
    <xf numFmtId="49" fontId="35" fillId="0" borderId="0" xfId="60" quotePrefix="1" applyNumberFormat="1" applyFont="1" applyAlignment="1">
      <alignment horizontal="left"/>
    </xf>
    <xf numFmtId="49" fontId="33" fillId="0" borderId="0" xfId="60" applyNumberFormat="1" applyFont="1"/>
    <xf numFmtId="49" fontId="31" fillId="0" borderId="0" xfId="60" quotePrefix="1" applyNumberFormat="1" applyFont="1" applyAlignment="1">
      <alignment horizontal="left"/>
    </xf>
    <xf numFmtId="49" fontId="47" fillId="0" borderId="0" xfId="60" applyNumberFormat="1" applyFont="1"/>
    <xf numFmtId="49" fontId="33" fillId="0" borderId="0" xfId="60" quotePrefix="1" applyNumberFormat="1" applyFont="1" applyAlignment="1">
      <alignment horizontal="left"/>
    </xf>
    <xf numFmtId="49" fontId="39" fillId="0" borderId="0" xfId="60" applyNumberFormat="1" applyFont="1"/>
    <xf numFmtId="49" fontId="17" fillId="0" borderId="0" xfId="60" applyNumberFormat="1" applyAlignment="1">
      <alignment horizontal="left" wrapText="1"/>
    </xf>
    <xf numFmtId="49" fontId="30" fillId="0" borderId="0" xfId="60" applyNumberFormat="1" applyFont="1" applyAlignment="1">
      <alignment horizontal="center"/>
    </xf>
    <xf numFmtId="49" fontId="30" fillId="0" borderId="0" xfId="60" quotePrefix="1" applyNumberFormat="1" applyFont="1" applyAlignment="1">
      <alignment horizontal="centerContinuous" wrapText="1"/>
    </xf>
    <xf numFmtId="49" fontId="30" fillId="0" borderId="3" xfId="60" applyNumberFormat="1" applyFont="1" applyBorder="1" applyAlignment="1">
      <alignment horizontal="centerContinuous" wrapText="1"/>
    </xf>
    <xf numFmtId="49" fontId="30" fillId="0" borderId="3" xfId="60" quotePrefix="1" applyNumberFormat="1" applyFont="1" applyBorder="1" applyAlignment="1">
      <alignment horizontal="centerContinuous" wrapText="1"/>
    </xf>
    <xf numFmtId="49" fontId="35" fillId="0" borderId="0" xfId="60" applyNumberFormat="1" applyFont="1" applyAlignment="1">
      <alignment horizontal="center"/>
    </xf>
    <xf numFmtId="49" fontId="30" fillId="0" borderId="0" xfId="60" applyNumberFormat="1" applyFont="1" applyAlignment="1">
      <alignment horizontal="center" wrapText="1"/>
    </xf>
    <xf numFmtId="49" fontId="30" fillId="0" borderId="4" xfId="60" applyNumberFormat="1" applyFont="1" applyBorder="1" applyAlignment="1">
      <alignment horizontal="center" wrapText="1"/>
    </xf>
    <xf numFmtId="49" fontId="26" fillId="0" borderId="23" xfId="0" applyNumberFormat="1" applyFont="1" applyBorder="1" applyProtection="1">
      <protection locked="0"/>
    </xf>
    <xf numFmtId="49" fontId="26" fillId="0" borderId="24" xfId="0" applyNumberFormat="1" applyFont="1" applyBorder="1" applyProtection="1">
      <protection locked="0"/>
    </xf>
    <xf numFmtId="49" fontId="26" fillId="0" borderId="25" xfId="0" applyNumberFormat="1" applyFont="1" applyBorder="1" applyProtection="1">
      <protection locked="0"/>
    </xf>
    <xf numFmtId="49" fontId="26" fillId="0" borderId="0" xfId="0" applyNumberFormat="1" applyFont="1" applyProtection="1">
      <protection locked="0"/>
    </xf>
    <xf numFmtId="49" fontId="26" fillId="0" borderId="26" xfId="0" applyNumberFormat="1" applyFont="1" applyBorder="1" applyProtection="1">
      <protection locked="0"/>
    </xf>
    <xf numFmtId="41" fontId="33" fillId="0" borderId="4" xfId="1" applyNumberFormat="1" applyFont="1" applyFill="1" applyBorder="1"/>
    <xf numFmtId="192" fontId="33" fillId="0" borderId="0" xfId="64" applyNumberFormat="1" applyFont="1" applyFill="1" applyBorder="1"/>
    <xf numFmtId="49" fontId="41" fillId="0" borderId="0" xfId="60" applyNumberFormat="1" applyFont="1"/>
    <xf numFmtId="49" fontId="31" fillId="0" borderId="0" xfId="1" applyNumberFormat="1" applyFont="1" applyFill="1" applyBorder="1" applyAlignment="1"/>
    <xf numFmtId="49" fontId="42" fillId="0" borderId="0" xfId="60" applyNumberFormat="1" applyFont="1"/>
    <xf numFmtId="49" fontId="39" fillId="0" borderId="0" xfId="60" quotePrefix="1" applyNumberFormat="1" applyFont="1" applyAlignment="1">
      <alignment horizontal="left"/>
    </xf>
    <xf numFmtId="49" fontId="31" fillId="0" borderId="4" xfId="60" applyNumberFormat="1" applyFont="1" applyBorder="1"/>
    <xf numFmtId="49" fontId="31" fillId="0" borderId="4" xfId="60" quotePrefix="1" applyNumberFormat="1" applyFont="1" applyBorder="1" applyAlignment="1">
      <alignment horizontal="left"/>
    </xf>
    <xf numFmtId="49" fontId="40" fillId="0" borderId="0" xfId="60" applyNumberFormat="1" applyFont="1"/>
    <xf numFmtId="49" fontId="48" fillId="0" borderId="0" xfId="60" applyNumberFormat="1" applyFont="1"/>
    <xf numFmtId="49" fontId="33" fillId="0" borderId="0" xfId="60" applyNumberFormat="1" applyFont="1" applyAlignment="1">
      <alignment horizontal="left"/>
    </xf>
    <xf numFmtId="49" fontId="33" fillId="0" borderId="0" xfId="60" applyNumberFormat="1" applyFont="1" applyAlignment="1">
      <alignment horizontal="left" indent="1"/>
    </xf>
    <xf numFmtId="49" fontId="31" fillId="0" borderId="7" xfId="60" applyNumberFormat="1" applyFont="1" applyBorder="1"/>
    <xf numFmtId="49" fontId="31" fillId="0" borderId="7" xfId="60" quotePrefix="1" applyNumberFormat="1" applyFont="1" applyBorder="1" applyAlignment="1">
      <alignment horizontal="left"/>
    </xf>
    <xf numFmtId="49" fontId="31" fillId="0" borderId="7" xfId="60" quotePrefix="1" applyNumberFormat="1" applyFont="1" applyBorder="1" applyAlignment="1">
      <alignment horizontal="right"/>
    </xf>
    <xf numFmtId="49" fontId="31" fillId="0" borderId="0" xfId="60" quotePrefix="1" applyNumberFormat="1" applyFont="1" applyAlignment="1">
      <alignment vertical="top"/>
    </xf>
    <xf numFmtId="49" fontId="31" fillId="0" borderId="0" xfId="60" applyNumberFormat="1" applyFont="1" applyAlignment="1">
      <alignment vertical="top"/>
    </xf>
    <xf numFmtId="49" fontId="40" fillId="0" borderId="0" xfId="60" applyNumberFormat="1" applyFont="1" applyAlignment="1">
      <alignment horizontal="left"/>
    </xf>
    <xf numFmtId="49" fontId="33" fillId="0" borderId="4" xfId="60" applyNumberFormat="1" applyFont="1" applyBorder="1"/>
    <xf numFmtId="49" fontId="30" fillId="0" borderId="0" xfId="60" quotePrefix="1" applyNumberFormat="1" applyFont="1" applyAlignment="1">
      <alignment horizontal="left"/>
    </xf>
    <xf numFmtId="49" fontId="45" fillId="0" borderId="0" xfId="60" quotePrefix="1" applyNumberFormat="1" applyFont="1" applyAlignment="1">
      <alignment horizontal="left"/>
    </xf>
    <xf numFmtId="49" fontId="33" fillId="0" borderId="7" xfId="2" applyNumberFormat="1" applyFont="1" applyFill="1" applyBorder="1"/>
    <xf numFmtId="42" fontId="33" fillId="0" borderId="0" xfId="2" applyNumberFormat="1" applyFont="1" applyFill="1" applyBorder="1" applyProtection="1">
      <protection locked="0"/>
    </xf>
    <xf numFmtId="42" fontId="33" fillId="0" borderId="29" xfId="2" applyNumberFormat="1" applyFont="1" applyFill="1" applyBorder="1" applyProtection="1">
      <protection locked="0"/>
    </xf>
    <xf numFmtId="42" fontId="33" fillId="0" borderId="29" xfId="2" applyNumberFormat="1" applyFont="1" applyFill="1" applyBorder="1"/>
    <xf numFmtId="42" fontId="33" fillId="0" borderId="8" xfId="2" applyNumberFormat="1" applyFont="1" applyFill="1" applyBorder="1" applyProtection="1">
      <protection locked="0"/>
    </xf>
    <xf numFmtId="42" fontId="33" fillId="0" borderId="9" xfId="2" applyNumberFormat="1" applyFont="1" applyFill="1" applyBorder="1" applyProtection="1">
      <protection locked="0"/>
    </xf>
    <xf numFmtId="42" fontId="33" fillId="0" borderId="0" xfId="3" applyNumberFormat="1" applyFont="1" applyFill="1" applyBorder="1"/>
    <xf numFmtId="42" fontId="33" fillId="0" borderId="8" xfId="3" applyNumberFormat="1" applyFont="1" applyFill="1" applyBorder="1"/>
    <xf numFmtId="41" fontId="33" fillId="0" borderId="0" xfId="2" applyNumberFormat="1" applyFont="1" applyFill="1" applyBorder="1" applyProtection="1">
      <protection locked="0"/>
    </xf>
    <xf numFmtId="41" fontId="33" fillId="0" borderId="29" xfId="2" applyNumberFormat="1" applyFont="1" applyFill="1" applyBorder="1" applyProtection="1">
      <protection locked="0"/>
    </xf>
    <xf numFmtId="41" fontId="33" fillId="0" borderId="29" xfId="2" applyNumberFormat="1" applyFont="1" applyFill="1" applyBorder="1"/>
    <xf numFmtId="41" fontId="33" fillId="0" borderId="4" xfId="2" applyNumberFormat="1" applyFont="1" applyFill="1" applyBorder="1" applyProtection="1">
      <protection locked="0"/>
    </xf>
    <xf numFmtId="41" fontId="33" fillId="0" borderId="11" xfId="2" applyNumberFormat="1" applyFont="1" applyFill="1" applyBorder="1" applyProtection="1">
      <protection locked="0"/>
    </xf>
    <xf numFmtId="41" fontId="33" fillId="0" borderId="10" xfId="2" applyNumberFormat="1" applyFont="1" applyFill="1" applyBorder="1" applyProtection="1">
      <protection locked="0"/>
    </xf>
    <xf numFmtId="41" fontId="31" fillId="0" borderId="0" xfId="1" applyNumberFormat="1" applyFont="1" applyFill="1"/>
    <xf numFmtId="192" fontId="33" fillId="0" borderId="29" xfId="64" applyNumberFormat="1" applyFont="1" applyFill="1" applyBorder="1"/>
    <xf numFmtId="49" fontId="31" fillId="0" borderId="0" xfId="60" applyNumberFormat="1" applyFont="1" applyAlignment="1">
      <alignment horizontal="left"/>
    </xf>
    <xf numFmtId="49" fontId="30" fillId="0" borderId="0" xfId="60" applyNumberFormat="1" applyFont="1" applyAlignment="1">
      <alignment horizontal="left"/>
    </xf>
    <xf numFmtId="49" fontId="30" fillId="0" borderId="12" xfId="60" applyNumberFormat="1" applyFont="1" applyBorder="1" applyAlignment="1">
      <alignment horizontal="left"/>
    </xf>
    <xf numFmtId="49" fontId="30" fillId="0" borderId="12" xfId="60" applyNumberFormat="1" applyFont="1" applyBorder="1" applyAlignment="1">
      <alignment horizontal="centerContinuous"/>
    </xf>
    <xf numFmtId="49" fontId="31" fillId="0" borderId="12" xfId="60" applyNumberFormat="1" applyFont="1" applyBorder="1"/>
    <xf numFmtId="49" fontId="30" fillId="0" borderId="0" xfId="60" applyNumberFormat="1" applyFont="1" applyAlignment="1" applyProtection="1">
      <alignment horizontal="left"/>
      <protection locked="0"/>
    </xf>
    <xf numFmtId="49" fontId="30" fillId="0" borderId="0" xfId="60" applyNumberFormat="1" applyFont="1" applyAlignment="1" applyProtection="1">
      <alignment horizontal="centerContinuous"/>
      <protection locked="0"/>
    </xf>
    <xf numFmtId="49" fontId="31" fillId="0" borderId="0" xfId="60" applyNumberFormat="1" applyFont="1" applyProtection="1">
      <protection locked="0"/>
    </xf>
    <xf numFmtId="49" fontId="66" fillId="2" borderId="0" xfId="0" quotePrefix="1" applyNumberFormat="1" applyFont="1" applyFill="1" applyAlignment="1">
      <alignment horizontal="left"/>
    </xf>
    <xf numFmtId="49" fontId="31" fillId="2" borderId="0" xfId="0" applyNumberFormat="1" applyFont="1" applyFill="1" applyAlignment="1">
      <alignment horizontal="left"/>
    </xf>
    <xf numFmtId="49" fontId="33" fillId="0" borderId="0" xfId="0" applyNumberFormat="1" applyFont="1" applyAlignment="1">
      <alignment horizontal="left"/>
    </xf>
    <xf numFmtId="49" fontId="26" fillId="0" borderId="4" xfId="0" applyNumberFormat="1" applyFont="1" applyBorder="1" applyProtection="1">
      <protection locked="0"/>
    </xf>
    <xf numFmtId="49" fontId="35" fillId="0" borderId="29" xfId="0" quotePrefix="1" applyNumberFormat="1" applyFont="1" applyBorder="1" applyAlignment="1">
      <alignment horizontal="centerContinuous"/>
    </xf>
    <xf numFmtId="49" fontId="30" fillId="0" borderId="0" xfId="0" quotePrefix="1" applyNumberFormat="1" applyFont="1" applyAlignment="1">
      <alignment horizontal="centerContinuous" wrapText="1"/>
    </xf>
    <xf numFmtId="49" fontId="0" fillId="0" borderId="0" xfId="0" applyNumberFormat="1" applyProtection="1">
      <protection locked="0"/>
    </xf>
    <xf numFmtId="49" fontId="30" fillId="0" borderId="0" xfId="0" applyNumberFormat="1" applyFont="1" applyAlignment="1">
      <alignment horizontal="center" wrapText="1"/>
    </xf>
    <xf numFmtId="49" fontId="66" fillId="2" borderId="0" xfId="0" applyNumberFormat="1" applyFont="1" applyFill="1" applyAlignment="1">
      <alignment horizontal="left"/>
    </xf>
    <xf numFmtId="49" fontId="33" fillId="0" borderId="0" xfId="0" applyNumberFormat="1" applyFont="1" applyAlignment="1">
      <alignment horizontal="center"/>
    </xf>
    <xf numFmtId="49" fontId="31" fillId="0" borderId="0" xfId="0" applyNumberFormat="1" applyFont="1" applyAlignment="1">
      <alignment horizontal="left" indent="1"/>
    </xf>
    <xf numFmtId="41" fontId="33" fillId="0" borderId="0" xfId="64" applyNumberFormat="1" applyFont="1" applyFill="1" applyBorder="1"/>
    <xf numFmtId="41" fontId="33" fillId="0" borderId="1" xfId="64" applyNumberFormat="1" applyFont="1" applyFill="1" applyBorder="1"/>
    <xf numFmtId="41" fontId="33" fillId="0" borderId="8" xfId="2" applyNumberFormat="1" applyFont="1" applyFill="1" applyBorder="1"/>
    <xf numFmtId="41" fontId="33" fillId="0" borderId="9" xfId="2" applyNumberFormat="1" applyFont="1" applyFill="1" applyBorder="1"/>
    <xf numFmtId="196" fontId="33" fillId="0" borderId="0" xfId="2" applyNumberFormat="1" applyFont="1" applyFill="1" applyBorder="1"/>
    <xf numFmtId="196" fontId="33" fillId="0" borderId="1" xfId="2" applyNumberFormat="1" applyFont="1" applyFill="1" applyBorder="1"/>
    <xf numFmtId="196" fontId="33" fillId="0" borderId="8" xfId="2" applyNumberFormat="1" applyFont="1" applyFill="1" applyBorder="1"/>
    <xf numFmtId="196" fontId="33" fillId="0" borderId="9" xfId="2" applyNumberFormat="1" applyFont="1" applyFill="1" applyBorder="1"/>
    <xf numFmtId="49" fontId="30" fillId="0" borderId="4" xfId="0" applyNumberFormat="1" applyFont="1" applyBorder="1" applyAlignment="1">
      <alignment horizontal="center"/>
    </xf>
    <xf numFmtId="49" fontId="26" fillId="0" borderId="12" xfId="0" applyNumberFormat="1" applyFont="1" applyBorder="1" applyAlignment="1">
      <alignment horizontal="right" vertical="center" wrapText="1"/>
    </xf>
    <xf numFmtId="174" fontId="33" fillId="0" borderId="1" xfId="2" applyNumberFormat="1" applyFont="1" applyFill="1" applyBorder="1"/>
    <xf numFmtId="174" fontId="33" fillId="0" borderId="61" xfId="2" applyNumberFormat="1" applyFont="1" applyFill="1" applyBorder="1"/>
    <xf numFmtId="0" fontId="26" fillId="0" borderId="0" xfId="1" applyNumberFormat="1" applyFont="1"/>
    <xf numFmtId="0" fontId="26" fillId="0" borderId="3" xfId="0" applyFont="1" applyBorder="1"/>
    <xf numFmtId="0" fontId="26" fillId="3" borderId="0" xfId="1" applyNumberFormat="1" applyFont="1" applyFill="1"/>
    <xf numFmtId="0" fontId="53" fillId="0" borderId="8" xfId="0" applyFont="1" applyBorder="1"/>
    <xf numFmtId="0" fontId="53" fillId="0" borderId="0" xfId="0" applyFont="1"/>
    <xf numFmtId="0" fontId="26" fillId="0" borderId="0" xfId="1" applyNumberFormat="1" applyFont="1" applyFill="1"/>
    <xf numFmtId="0" fontId="26" fillId="4" borderId="0" xfId="0" applyFont="1" applyFill="1"/>
    <xf numFmtId="0" fontId="33" fillId="0" borderId="0" xfId="1" applyNumberFormat="1" applyFont="1" applyFill="1"/>
    <xf numFmtId="0" fontId="26" fillId="3" borderId="4" xfId="1" applyNumberFormat="1" applyFont="1" applyFill="1" applyBorder="1"/>
    <xf numFmtId="0" fontId="26" fillId="3" borderId="4" xfId="0" applyFont="1" applyFill="1" applyBorder="1"/>
    <xf numFmtId="202" fontId="33" fillId="0" borderId="0" xfId="2" applyNumberFormat="1" applyFont="1" applyFill="1" applyBorder="1" applyAlignment="1">
      <alignment horizontal="right"/>
    </xf>
    <xf numFmtId="202" fontId="35" fillId="0" borderId="13" xfId="0" quotePrefix="1" applyNumberFormat="1" applyFont="1" applyBorder="1" applyAlignment="1">
      <alignment horizontal="center"/>
    </xf>
    <xf numFmtId="202" fontId="33" fillId="0" borderId="7" xfId="2" applyNumberFormat="1" applyFont="1" applyFill="1" applyBorder="1" applyAlignment="1">
      <alignment horizontal="right"/>
    </xf>
    <xf numFmtId="202" fontId="33" fillId="0" borderId="8" xfId="2" applyNumberFormat="1" applyFont="1" applyFill="1" applyBorder="1" applyAlignment="1">
      <alignment horizontal="right"/>
    </xf>
    <xf numFmtId="202" fontId="33" fillId="0" borderId="0" xfId="2" applyNumberFormat="1" applyFont="1" applyFill="1" applyBorder="1"/>
    <xf numFmtId="202" fontId="30" fillId="0" borderId="0" xfId="0" quotePrefix="1" applyNumberFormat="1" applyFont="1" applyAlignment="1">
      <alignment horizontal="right" wrapText="1"/>
    </xf>
    <xf numFmtId="202" fontId="35" fillId="0" borderId="13" xfId="0" quotePrefix="1" applyNumberFormat="1" applyFont="1" applyBorder="1" applyAlignment="1">
      <alignment horizontal="right"/>
    </xf>
    <xf numFmtId="202" fontId="31" fillId="0" borderId="0" xfId="0" applyNumberFormat="1" applyFont="1" applyAlignment="1">
      <alignment horizontal="right"/>
    </xf>
    <xf numFmtId="202" fontId="31" fillId="0" borderId="0" xfId="2" applyNumberFormat="1" applyFont="1" applyFill="1" applyBorder="1" applyAlignment="1">
      <alignment horizontal="right"/>
    </xf>
    <xf numFmtId="202" fontId="31" fillId="0" borderId="0" xfId="0" applyNumberFormat="1" applyFont="1"/>
    <xf numFmtId="202" fontId="33" fillId="0" borderId="0" xfId="64" applyNumberFormat="1" applyFont="1" applyFill="1"/>
    <xf numFmtId="202" fontId="33" fillId="0" borderId="8" xfId="64" applyNumberFormat="1" applyFont="1" applyFill="1" applyBorder="1"/>
    <xf numFmtId="202" fontId="33" fillId="0" borderId="0" xfId="64" applyNumberFormat="1" applyFont="1" applyFill="1" applyBorder="1"/>
    <xf numFmtId="202" fontId="31" fillId="0" borderId="8" xfId="64" applyNumberFormat="1" applyFont="1" applyFill="1" applyBorder="1"/>
    <xf numFmtId="202" fontId="33" fillId="0" borderId="4" xfId="64" applyNumberFormat="1" applyFont="1" applyFill="1" applyBorder="1"/>
    <xf numFmtId="202" fontId="33" fillId="0" borderId="8" xfId="64" applyNumberFormat="1" applyFont="1" applyFill="1" applyBorder="1" applyAlignment="1">
      <alignment horizontal="right"/>
    </xf>
    <xf numFmtId="202" fontId="33" fillId="0" borderId="0" xfId="64" applyNumberFormat="1" applyFont="1" applyFill="1" applyBorder="1" applyAlignment="1">
      <alignment horizontal="right"/>
    </xf>
    <xf numFmtId="202" fontId="33" fillId="0" borderId="7" xfId="64" applyNumberFormat="1" applyFont="1" applyFill="1" applyBorder="1" applyAlignment="1">
      <alignment horizontal="right"/>
    </xf>
    <xf numFmtId="202" fontId="33" fillId="0" borderId="0" xfId="64" applyNumberFormat="1" applyFont="1" applyFill="1" applyBorder="1" applyProtection="1">
      <protection locked="0"/>
    </xf>
    <xf numFmtId="202" fontId="33" fillId="0" borderId="29" xfId="64" applyNumberFormat="1" applyFont="1" applyFill="1" applyBorder="1" applyProtection="1">
      <protection locked="0"/>
    </xf>
    <xf numFmtId="202" fontId="33" fillId="0" borderId="4" xfId="64" applyNumberFormat="1" applyFont="1" applyFill="1" applyBorder="1" applyProtection="1">
      <protection locked="0"/>
    </xf>
    <xf numFmtId="202" fontId="33" fillId="0" borderId="10" xfId="64" applyNumberFormat="1" applyFont="1" applyFill="1" applyBorder="1" applyProtection="1">
      <protection locked="0"/>
    </xf>
    <xf numFmtId="203" fontId="33" fillId="0" borderId="0" xfId="64" applyNumberFormat="1" applyFont="1" applyFill="1" applyBorder="1" applyProtection="1">
      <protection locked="0"/>
    </xf>
    <xf numFmtId="203" fontId="33" fillId="0" borderId="29" xfId="64" applyNumberFormat="1" applyFont="1" applyFill="1" applyBorder="1" applyProtection="1">
      <protection locked="0"/>
    </xf>
    <xf numFmtId="202" fontId="33" fillId="0" borderId="0" xfId="4" applyNumberFormat="1" applyFont="1" applyFill="1" applyBorder="1" applyAlignment="1">
      <alignment horizontal="right"/>
    </xf>
    <xf numFmtId="202" fontId="33" fillId="0" borderId="3" xfId="2" applyNumberFormat="1" applyFont="1" applyFill="1" applyBorder="1" applyAlignment="1">
      <alignment horizontal="right"/>
    </xf>
    <xf numFmtId="202" fontId="33" fillId="0" borderId="0" xfId="0" applyNumberFormat="1" applyFont="1" applyAlignment="1">
      <alignment horizontal="right"/>
    </xf>
    <xf numFmtId="202" fontId="47" fillId="0" borderId="0" xfId="0" applyNumberFormat="1" applyFont="1" applyAlignment="1">
      <alignment horizontal="right"/>
    </xf>
    <xf numFmtId="202" fontId="33" fillId="0" borderId="7" xfId="4" applyNumberFormat="1" applyFont="1" applyFill="1" applyBorder="1" applyAlignment="1">
      <alignment horizontal="right"/>
    </xf>
    <xf numFmtId="202" fontId="33" fillId="0" borderId="8" xfId="4" applyNumberFormat="1" applyFont="1" applyFill="1" applyBorder="1" applyAlignment="1">
      <alignment horizontal="right"/>
    </xf>
    <xf numFmtId="202" fontId="33" fillId="0" borderId="1" xfId="4" applyNumberFormat="1" applyFont="1" applyFill="1" applyBorder="1" applyAlignment="1">
      <alignment horizontal="right"/>
    </xf>
    <xf numFmtId="202" fontId="31" fillId="0" borderId="6" xfId="0" applyNumberFormat="1" applyFont="1" applyBorder="1" applyAlignment="1">
      <alignment horizontal="right"/>
    </xf>
    <xf numFmtId="202" fontId="31" fillId="0" borderId="13" xfId="0" applyNumberFormat="1" applyFont="1" applyBorder="1" applyAlignment="1">
      <alignment horizontal="right"/>
    </xf>
    <xf numFmtId="202" fontId="33" fillId="0" borderId="4" xfId="2" applyNumberFormat="1" applyFont="1" applyFill="1" applyBorder="1" applyAlignment="1">
      <alignment horizontal="right"/>
    </xf>
    <xf numFmtId="203" fontId="33" fillId="0" borderId="1" xfId="64" applyNumberFormat="1" applyFont="1" applyFill="1" applyBorder="1" applyAlignment="1">
      <alignment horizontal="right"/>
    </xf>
    <xf numFmtId="203" fontId="33" fillId="0" borderId="0" xfId="64" applyNumberFormat="1" applyFont="1" applyFill="1" applyBorder="1" applyAlignment="1">
      <alignment horizontal="right"/>
    </xf>
    <xf numFmtId="203" fontId="31" fillId="0" borderId="6" xfId="0" applyNumberFormat="1" applyFont="1" applyBorder="1" applyAlignment="1">
      <alignment horizontal="right"/>
    </xf>
    <xf numFmtId="203" fontId="31" fillId="0" borderId="0" xfId="0" applyNumberFormat="1" applyFont="1" applyAlignment="1">
      <alignment horizontal="right"/>
    </xf>
    <xf numFmtId="203" fontId="33" fillId="0" borderId="0" xfId="2" applyNumberFormat="1" applyFont="1" applyFill="1" applyBorder="1" applyAlignment="1">
      <alignment horizontal="right"/>
    </xf>
    <xf numFmtId="203" fontId="31" fillId="0" borderId="13" xfId="0" applyNumberFormat="1" applyFont="1" applyBorder="1" applyAlignment="1">
      <alignment horizontal="right"/>
    </xf>
    <xf numFmtId="203" fontId="33" fillId="0" borderId="0" xfId="4" applyNumberFormat="1" applyFont="1" applyFill="1" applyBorder="1" applyAlignment="1">
      <alignment horizontal="right"/>
    </xf>
    <xf numFmtId="203" fontId="33" fillId="0" borderId="11" xfId="64" applyNumberFormat="1" applyFont="1" applyFill="1" applyBorder="1" applyAlignment="1">
      <alignment horizontal="right"/>
    </xf>
    <xf numFmtId="203" fontId="33" fillId="0" borderId="4" xfId="64" applyNumberFormat="1" applyFont="1" applyFill="1" applyBorder="1" applyAlignment="1">
      <alignment horizontal="right"/>
    </xf>
    <xf numFmtId="203" fontId="33" fillId="0" borderId="4" xfId="2" applyNumberFormat="1" applyFont="1" applyFill="1" applyBorder="1" applyAlignment="1">
      <alignment horizontal="right"/>
    </xf>
    <xf numFmtId="203" fontId="33" fillId="0" borderId="4" xfId="4" applyNumberFormat="1" applyFont="1" applyFill="1" applyBorder="1" applyAlignment="1">
      <alignment horizontal="right"/>
    </xf>
    <xf numFmtId="204" fontId="33" fillId="0" borderId="1" xfId="64" applyNumberFormat="1" applyFont="1" applyFill="1" applyBorder="1" applyAlignment="1">
      <alignment horizontal="right"/>
    </xf>
    <xf numFmtId="204" fontId="33" fillId="0" borderId="0" xfId="64" applyNumberFormat="1" applyFont="1" applyFill="1" applyBorder="1" applyAlignment="1">
      <alignment horizontal="right"/>
    </xf>
    <xf numFmtId="204" fontId="31" fillId="0" borderId="6" xfId="0" applyNumberFormat="1" applyFont="1" applyBorder="1" applyAlignment="1">
      <alignment horizontal="right"/>
    </xf>
    <xf numFmtId="204" fontId="31" fillId="0" borderId="0" xfId="0" applyNumberFormat="1" applyFont="1" applyAlignment="1">
      <alignment horizontal="right"/>
    </xf>
    <xf numFmtId="204" fontId="33" fillId="0" borderId="0" xfId="2" applyNumberFormat="1" applyFont="1" applyFill="1" applyBorder="1" applyAlignment="1">
      <alignment horizontal="right"/>
    </xf>
    <xf numFmtId="204" fontId="31" fillId="0" borderId="13" xfId="0" applyNumberFormat="1" applyFont="1" applyBorder="1" applyAlignment="1">
      <alignment horizontal="right"/>
    </xf>
    <xf numFmtId="204" fontId="33" fillId="0" borderId="0" xfId="4" applyNumberFormat="1" applyFont="1" applyFill="1" applyBorder="1" applyAlignment="1">
      <alignment horizontal="right"/>
    </xf>
    <xf numFmtId="204" fontId="33" fillId="0" borderId="11" xfId="64" applyNumberFormat="1" applyFont="1" applyFill="1" applyBorder="1" applyAlignment="1">
      <alignment horizontal="right"/>
    </xf>
    <xf numFmtId="204" fontId="33" fillId="0" borderId="4" xfId="64" applyNumberFormat="1" applyFont="1" applyFill="1" applyBorder="1" applyAlignment="1">
      <alignment horizontal="right"/>
    </xf>
    <xf numFmtId="204" fontId="33" fillId="0" borderId="4" xfId="2" applyNumberFormat="1" applyFont="1" applyFill="1" applyBorder="1" applyAlignment="1">
      <alignment horizontal="right"/>
    </xf>
    <xf numFmtId="204" fontId="33" fillId="0" borderId="4" xfId="4" applyNumberFormat="1" applyFont="1" applyFill="1" applyBorder="1" applyAlignment="1">
      <alignment horizontal="right"/>
    </xf>
    <xf numFmtId="204" fontId="33" fillId="0" borderId="1" xfId="2" applyNumberFormat="1" applyFont="1" applyFill="1" applyBorder="1" applyAlignment="1">
      <alignment horizontal="right"/>
    </xf>
    <xf numFmtId="202" fontId="30" fillId="0" borderId="0" xfId="0" applyNumberFormat="1" applyFont="1" applyAlignment="1">
      <alignment horizontal="right" wrapText="1"/>
    </xf>
    <xf numFmtId="202" fontId="30" fillId="0" borderId="6" xfId="0" quotePrefix="1" applyNumberFormat="1" applyFont="1" applyBorder="1" applyAlignment="1">
      <alignment horizontal="right" wrapText="1"/>
    </xf>
    <xf numFmtId="0" fontId="26" fillId="0" borderId="12" xfId="1" applyNumberFormat="1" applyFont="1" applyBorder="1" applyAlignment="1">
      <alignment vertical="center"/>
    </xf>
    <xf numFmtId="0" fontId="35" fillId="0" borderId="0" xfId="1" quotePrefix="1" applyNumberFormat="1" applyFont="1" applyAlignment="1">
      <alignment horizontal="left" wrapText="1"/>
    </xf>
    <xf numFmtId="0" fontId="31" fillId="0" borderId="0" xfId="1" applyNumberFormat="1" applyFont="1" applyAlignment="1">
      <alignment wrapText="1"/>
    </xf>
    <xf numFmtId="0" fontId="31" fillId="0" borderId="0" xfId="0" applyFont="1" applyAlignment="1">
      <alignment wrapText="1"/>
    </xf>
    <xf numFmtId="0" fontId="35" fillId="0" borderId="0" xfId="1" applyNumberFormat="1" applyFont="1" applyAlignment="1">
      <alignment horizontal="left" wrapText="1"/>
    </xf>
    <xf numFmtId="0" fontId="31" fillId="0" borderId="0" xfId="0" applyFont="1" applyAlignment="1">
      <alignment horizontal="centerContinuous" wrapText="1"/>
    </xf>
    <xf numFmtId="0" fontId="31" fillId="0" borderId="0" xfId="0" quotePrefix="1" applyFont="1" applyAlignment="1">
      <alignment horizontal="left" wrapText="1"/>
    </xf>
    <xf numFmtId="0" fontId="35" fillId="0" borderId="0" xfId="0" applyFont="1" applyAlignment="1">
      <alignment wrapText="1"/>
    </xf>
    <xf numFmtId="0" fontId="26" fillId="0" borderId="4" xfId="1" applyNumberFormat="1" applyFont="1" applyBorder="1"/>
    <xf numFmtId="0" fontId="31" fillId="0" borderId="0" xfId="1" quotePrefix="1" applyNumberFormat="1" applyFont="1" applyAlignment="1">
      <alignment vertical="top"/>
    </xf>
    <xf numFmtId="0" fontId="26" fillId="0" borderId="0" xfId="1" applyNumberFormat="1" applyFont="1" applyAlignment="1">
      <alignment horizontal="center"/>
    </xf>
    <xf numFmtId="0" fontId="31" fillId="0" borderId="0" xfId="1" applyNumberFormat="1" applyFont="1"/>
    <xf numFmtId="0" fontId="31" fillId="0" borderId="0" xfId="0" quotePrefix="1" applyFont="1" applyAlignment="1">
      <alignment horizontal="left" wrapText="1" indent="6"/>
    </xf>
    <xf numFmtId="0" fontId="31" fillId="0" borderId="0" xfId="0" quotePrefix="1" applyFont="1" applyAlignment="1">
      <alignment horizontal="left" wrapText="1" indent="3"/>
    </xf>
    <xf numFmtId="0" fontId="31" fillId="0" borderId="0" xfId="0" quotePrefix="1" applyFont="1" applyAlignment="1">
      <alignment horizontal="left"/>
    </xf>
    <xf numFmtId="0" fontId="31" fillId="0" borderId="0" xfId="1" applyNumberFormat="1" applyFont="1" applyBorder="1"/>
    <xf numFmtId="0" fontId="31" fillId="0" borderId="7" xfId="1" applyNumberFormat="1" applyFont="1" applyBorder="1"/>
    <xf numFmtId="0" fontId="31" fillId="0" borderId="7" xfId="0" quotePrefix="1" applyFont="1" applyBorder="1" applyAlignment="1">
      <alignment horizontal="left"/>
    </xf>
    <xf numFmtId="0" fontId="31" fillId="0" borderId="7" xfId="0" quotePrefix="1" applyFont="1" applyBorder="1" applyAlignment="1">
      <alignment horizontal="right"/>
    </xf>
    <xf numFmtId="0" fontId="36" fillId="0" borderId="0" xfId="1" applyNumberFormat="1" applyFont="1" applyAlignment="1">
      <alignment horizontal="left" wrapText="1"/>
    </xf>
    <xf numFmtId="0" fontId="31" fillId="0" borderId="0" xfId="0" applyFont="1" applyAlignment="1">
      <alignment horizontal="left" wrapText="1"/>
    </xf>
    <xf numFmtId="0" fontId="31" fillId="0" borderId="0" xfId="1" quotePrefix="1" applyNumberFormat="1" applyFont="1" applyAlignment="1">
      <alignment horizontal="left" wrapText="1"/>
    </xf>
    <xf numFmtId="0" fontId="31" fillId="0" borderId="0" xfId="0" applyFont="1" applyAlignment="1">
      <alignment horizontal="left" wrapText="1" indent="3"/>
    </xf>
    <xf numFmtId="0" fontId="29" fillId="0" borderId="0" xfId="0" quotePrefix="1" applyFont="1" applyAlignment="1">
      <alignment horizontal="left"/>
    </xf>
    <xf numFmtId="0" fontId="35" fillId="0" borderId="0" xfId="0" applyFont="1"/>
    <xf numFmtId="0" fontId="26" fillId="0" borderId="0" xfId="1" applyNumberFormat="1" applyFont="1" applyBorder="1"/>
    <xf numFmtId="0" fontId="31" fillId="0" borderId="0" xfId="1" applyNumberFormat="1" applyFont="1" applyAlignment="1">
      <alignment horizontal="centerContinuous"/>
    </xf>
    <xf numFmtId="0" fontId="31" fillId="0" borderId="0" xfId="0" applyFont="1" applyAlignment="1">
      <alignment horizontal="centerContinuous"/>
    </xf>
    <xf numFmtId="0" fontId="31" fillId="0" borderId="0" xfId="0" quotePrefix="1" applyFont="1" applyAlignment="1">
      <alignment wrapText="1"/>
    </xf>
    <xf numFmtId="0" fontId="35" fillId="0" borderId="0" xfId="1" applyNumberFormat="1" applyFont="1"/>
    <xf numFmtId="0" fontId="31" fillId="0" borderId="0" xfId="1" applyNumberFormat="1" applyFont="1" applyAlignment="1">
      <alignment horizontal="left" wrapText="1"/>
    </xf>
    <xf numFmtId="0" fontId="35" fillId="0" borderId="0" xfId="0" quotePrefix="1" applyFont="1" applyAlignment="1">
      <alignment horizontal="left"/>
    </xf>
    <xf numFmtId="49" fontId="31" fillId="0" borderId="0" xfId="0" applyNumberFormat="1" applyFont="1" applyAlignment="1">
      <alignment wrapText="1"/>
    </xf>
    <xf numFmtId="42" fontId="33" fillId="16" borderId="0" xfId="2" applyNumberFormat="1" applyFont="1" applyFill="1" applyBorder="1"/>
    <xf numFmtId="42" fontId="33" fillId="16" borderId="1" xfId="2" applyNumberFormat="1" applyFont="1" applyFill="1" applyBorder="1"/>
    <xf numFmtId="0" fontId="35" fillId="16" borderId="0" xfId="1" quotePrefix="1" applyNumberFormat="1" applyFont="1" applyFill="1" applyAlignment="1">
      <alignment horizontal="left" wrapText="1"/>
    </xf>
    <xf numFmtId="0" fontId="35" fillId="16" borderId="0" xfId="0" quotePrefix="1" applyFont="1" applyFill="1" applyAlignment="1">
      <alignment horizontal="left" wrapText="1"/>
    </xf>
    <xf numFmtId="168" fontId="33" fillId="16" borderId="0" xfId="2" applyNumberFormat="1" applyFont="1" applyFill="1" applyBorder="1"/>
    <xf numFmtId="168" fontId="33" fillId="16" borderId="1" xfId="2" applyNumberFormat="1" applyFont="1" applyFill="1" applyBorder="1"/>
    <xf numFmtId="0" fontId="31" fillId="0" borderId="0" xfId="1" applyNumberFormat="1" applyFont="1" applyFill="1"/>
    <xf numFmtId="41" fontId="33" fillId="16" borderId="7" xfId="2" applyNumberFormat="1" applyFont="1" applyFill="1" applyBorder="1"/>
    <xf numFmtId="41" fontId="33" fillId="16" borderId="4" xfId="2" applyNumberFormat="1" applyFont="1" applyFill="1" applyBorder="1"/>
    <xf numFmtId="42" fontId="33" fillId="16" borderId="8" xfId="2" applyNumberFormat="1" applyFont="1" applyFill="1" applyBorder="1"/>
    <xf numFmtId="165" fontId="33" fillId="16" borderId="0" xfId="2" applyFont="1" applyFill="1" applyBorder="1"/>
    <xf numFmtId="41" fontId="33" fillId="16" borderId="3" xfId="2" applyNumberFormat="1" applyFont="1" applyFill="1" applyBorder="1"/>
    <xf numFmtId="165" fontId="30" fillId="16" borderId="0" xfId="2" applyFont="1" applyFill="1" applyBorder="1" applyAlignment="1">
      <alignment horizontal="center" vertical="top"/>
    </xf>
    <xf numFmtId="0" fontId="31" fillId="16" borderId="0" xfId="0" applyFont="1" applyFill="1" applyAlignment="1">
      <alignment horizontal="left"/>
    </xf>
    <xf numFmtId="0" fontId="26" fillId="0" borderId="0" xfId="1" quotePrefix="1" applyNumberFormat="1" applyFont="1"/>
    <xf numFmtId="0" fontId="26" fillId="0" borderId="0" xfId="1" quotePrefix="1" applyNumberFormat="1" applyFont="1" applyAlignment="1">
      <alignment vertical="top"/>
    </xf>
    <xf numFmtId="164" fontId="25" fillId="0" borderId="0" xfId="68" applyNumberFormat="1" applyFont="1" applyFill="1" applyProtection="1">
      <protection locked="0"/>
    </xf>
    <xf numFmtId="167" fontId="31" fillId="0" borderId="0" xfId="0" applyNumberFormat="1" applyFont="1"/>
    <xf numFmtId="44" fontId="31" fillId="0" borderId="0" xfId="4" applyNumberFormat="1" applyFont="1" applyFill="1" applyBorder="1" applyAlignment="1">
      <alignment horizontal="right"/>
    </xf>
    <xf numFmtId="0" fontId="31" fillId="0" borderId="0" xfId="1" applyNumberFormat="1" applyFont="1" applyFill="1" applyAlignment="1">
      <alignment wrapText="1"/>
    </xf>
    <xf numFmtId="42" fontId="3" fillId="3" borderId="0" xfId="0" applyNumberFormat="1" applyFont="1" applyFill="1"/>
    <xf numFmtId="168" fontId="33" fillId="0" borderId="0" xfId="2" applyNumberFormat="1" applyFont="1" applyFill="1" applyBorder="1"/>
    <xf numFmtId="195" fontId="33" fillId="0" borderId="0" xfId="2" applyNumberFormat="1" applyFont="1" applyFill="1" applyBorder="1"/>
    <xf numFmtId="195" fontId="33" fillId="0" borderId="1" xfId="2" applyNumberFormat="1" applyFont="1" applyFill="1" applyBorder="1"/>
    <xf numFmtId="0" fontId="2" fillId="0" borderId="3" xfId="0" applyFont="1" applyBorder="1"/>
    <xf numFmtId="169" fontId="33" fillId="0" borderId="1" xfId="4" applyNumberFormat="1" applyFont="1" applyBorder="1"/>
    <xf numFmtId="169" fontId="33" fillId="0" borderId="0" xfId="4" applyNumberFormat="1" applyFont="1"/>
    <xf numFmtId="43" fontId="33" fillId="0" borderId="1" xfId="1" applyFont="1" applyBorder="1" applyAlignment="1">
      <alignment horizontal="center"/>
    </xf>
    <xf numFmtId="43" fontId="33" fillId="0" borderId="0" xfId="1" applyFont="1" applyAlignment="1">
      <alignment horizontal="center"/>
    </xf>
    <xf numFmtId="43" fontId="33" fillId="0" borderId="6" xfId="1" applyFont="1" applyBorder="1" applyAlignment="1">
      <alignment horizontal="center"/>
    </xf>
    <xf numFmtId="0" fontId="1" fillId="0" borderId="0" xfId="0" applyFont="1"/>
    <xf numFmtId="169" fontId="26" fillId="0" borderId="0" xfId="4" applyNumberFormat="1" applyFont="1"/>
    <xf numFmtId="43" fontId="33" fillId="0" borderId="0" xfId="1" applyFont="1" applyFill="1" applyAlignment="1">
      <alignment horizontal="center"/>
    </xf>
    <xf numFmtId="42" fontId="33" fillId="0" borderId="3" xfId="2" applyNumberFormat="1" applyFont="1" applyFill="1" applyBorder="1" applyAlignment="1">
      <alignment horizontal="right"/>
    </xf>
    <xf numFmtId="44" fontId="33" fillId="0" borderId="8" xfId="2" applyNumberFormat="1" applyFont="1" applyFill="1" applyBorder="1" applyAlignment="1">
      <alignment horizontal="right"/>
    </xf>
    <xf numFmtId="41" fontId="31" fillId="0" borderId="0" xfId="0" applyNumberFormat="1" applyFont="1"/>
    <xf numFmtId="41" fontId="31" fillId="0" borderId="6" xfId="0" applyNumberFormat="1" applyFont="1" applyBorder="1"/>
    <xf numFmtId="41" fontId="31" fillId="0" borderId="1" xfId="0" applyNumberFormat="1" applyFont="1" applyBorder="1"/>
    <xf numFmtId="42" fontId="33" fillId="0" borderId="2" xfId="2" applyNumberFormat="1" applyFont="1" applyFill="1" applyBorder="1" applyAlignment="1">
      <alignment horizontal="right"/>
    </xf>
    <xf numFmtId="42" fontId="33" fillId="0" borderId="16" xfId="2" applyNumberFormat="1" applyFont="1" applyFill="1" applyBorder="1" applyAlignment="1">
      <alignment horizontal="right"/>
    </xf>
    <xf numFmtId="42" fontId="33" fillId="0" borderId="3" xfId="2" applyNumberFormat="1" applyFont="1" applyFill="1" applyBorder="1"/>
    <xf numFmtId="44" fontId="33" fillId="0" borderId="9" xfId="2" applyNumberFormat="1" applyFont="1" applyFill="1" applyBorder="1" applyAlignment="1">
      <alignment horizontal="right"/>
    </xf>
    <xf numFmtId="44" fontId="33" fillId="0" borderId="15" xfId="2" applyNumberFormat="1" applyFont="1" applyFill="1" applyBorder="1" applyAlignment="1">
      <alignment horizontal="right"/>
    </xf>
    <xf numFmtId="44" fontId="31" fillId="0" borderId="0" xfId="0" applyNumberFormat="1" applyFont="1"/>
    <xf numFmtId="44" fontId="33" fillId="0" borderId="8" xfId="2" applyNumberFormat="1" applyFont="1" applyFill="1" applyBorder="1"/>
    <xf numFmtId="44" fontId="31" fillId="0" borderId="6" xfId="0" applyNumberFormat="1" applyFont="1" applyBorder="1"/>
    <xf numFmtId="44" fontId="31" fillId="0" borderId="1" xfId="0" applyNumberFormat="1" applyFont="1" applyBorder="1"/>
    <xf numFmtId="42" fontId="33" fillId="0" borderId="0" xfId="0" applyNumberFormat="1" applyFont="1"/>
    <xf numFmtId="44" fontId="5" fillId="0" borderId="0" xfId="0" applyNumberFormat="1" applyFont="1" applyAlignment="1" applyProtection="1">
      <alignment horizontal="center" vertical="center"/>
      <protection locked="0"/>
    </xf>
    <xf numFmtId="174" fontId="33" fillId="0" borderId="1" xfId="2" applyNumberFormat="1" applyFont="1" applyFill="1" applyBorder="1" applyAlignment="1">
      <alignment horizontal="right"/>
    </xf>
    <xf numFmtId="9" fontId="33" fillId="0" borderId="0" xfId="4" applyFont="1"/>
    <xf numFmtId="177" fontId="0" fillId="0" borderId="0" xfId="4" applyNumberFormat="1" applyFont="1" applyProtection="1">
      <protection locked="0"/>
    </xf>
    <xf numFmtId="0" fontId="34" fillId="0" borderId="0" xfId="0" applyFont="1"/>
    <xf numFmtId="168" fontId="33" fillId="0" borderId="1" xfId="2" applyNumberFormat="1" applyFont="1" applyFill="1" applyBorder="1"/>
    <xf numFmtId="44" fontId="33" fillId="0" borderId="1" xfId="0" applyNumberFormat="1" applyFont="1" applyBorder="1" applyAlignment="1">
      <alignment horizontal="center"/>
    </xf>
    <xf numFmtId="178" fontId="0" fillId="0" borderId="1" xfId="1" applyNumberFormat="1" applyFont="1" applyBorder="1"/>
    <xf numFmtId="187" fontId="0" fillId="0" borderId="0" xfId="4" applyNumberFormat="1" applyFont="1"/>
    <xf numFmtId="164" fontId="24" fillId="0" borderId="0" xfId="68" applyNumberFormat="1" applyFont="1" applyFill="1" applyBorder="1" applyProtection="1">
      <protection locked="0"/>
    </xf>
    <xf numFmtId="164" fontId="24" fillId="0" borderId="0" xfId="68" applyNumberFormat="1" applyFont="1" applyFill="1" applyProtection="1">
      <protection locked="0"/>
    </xf>
    <xf numFmtId="164" fontId="24" fillId="0" borderId="0" xfId="0" applyNumberFormat="1" applyFont="1" applyProtection="1">
      <protection locked="0"/>
    </xf>
    <xf numFmtId="0" fontId="64" fillId="0" borderId="0" xfId="0" applyFont="1" applyAlignment="1">
      <alignment vertical="center"/>
    </xf>
    <xf numFmtId="164" fontId="52" fillId="0" borderId="10" xfId="61" applyNumberFormat="1" applyFont="1" applyBorder="1" applyProtection="1">
      <protection locked="0"/>
    </xf>
    <xf numFmtId="164" fontId="52" fillId="0" borderId="7" xfId="61" applyNumberFormat="1" applyFont="1" applyBorder="1" applyProtection="1">
      <protection locked="0"/>
    </xf>
    <xf numFmtId="10" fontId="52" fillId="0" borderId="7" xfId="61" applyNumberFormat="1" applyFont="1" applyBorder="1" applyProtection="1">
      <protection locked="0"/>
    </xf>
    <xf numFmtId="10" fontId="52" fillId="0" borderId="14" xfId="61" applyNumberFormat="1" applyFont="1" applyBorder="1" applyProtection="1">
      <protection locked="0"/>
    </xf>
    <xf numFmtId="164" fontId="17" fillId="0" borderId="1" xfId="0" applyNumberFormat="1" applyFont="1" applyBorder="1" applyProtection="1">
      <protection locked="0"/>
    </xf>
    <xf numFmtId="164" fontId="17" fillId="0" borderId="0" xfId="0" applyNumberFormat="1" applyFont="1" applyProtection="1">
      <protection locked="0"/>
    </xf>
    <xf numFmtId="10" fontId="17" fillId="0" borderId="0" xfId="0" applyNumberFormat="1" applyFont="1" applyProtection="1">
      <protection locked="0"/>
    </xf>
    <xf numFmtId="10" fontId="17" fillId="0" borderId="6" xfId="0" applyNumberFormat="1" applyFont="1" applyBorder="1" applyProtection="1">
      <protection locked="0"/>
    </xf>
    <xf numFmtId="164" fontId="52" fillId="0" borderId="30" xfId="61" applyNumberFormat="1" applyFont="1" applyBorder="1" applyProtection="1">
      <protection locked="0"/>
    </xf>
    <xf numFmtId="164" fontId="52" fillId="0" borderId="31" xfId="61" applyNumberFormat="1" applyFont="1" applyBorder="1" applyProtection="1">
      <protection locked="0"/>
    </xf>
    <xf numFmtId="10" fontId="52" fillId="0" borderId="31" xfId="61" applyNumberFormat="1" applyFont="1" applyBorder="1" applyProtection="1">
      <protection locked="0"/>
    </xf>
    <xf numFmtId="10" fontId="52" fillId="0" borderId="32" xfId="61" applyNumberFormat="1" applyFont="1" applyBorder="1" applyProtection="1">
      <protection locked="0"/>
    </xf>
    <xf numFmtId="164" fontId="52" fillId="0" borderId="1" xfId="61" applyNumberFormat="1" applyFont="1" applyBorder="1" applyProtection="1">
      <protection locked="0"/>
    </xf>
    <xf numFmtId="164" fontId="52" fillId="0" borderId="0" xfId="61" applyNumberFormat="1" applyFont="1" applyProtection="1">
      <protection locked="0"/>
    </xf>
    <xf numFmtId="10" fontId="52" fillId="0" borderId="0" xfId="61" applyNumberFormat="1" applyFont="1" applyProtection="1">
      <protection locked="0"/>
    </xf>
    <xf numFmtId="10" fontId="52" fillId="0" borderId="6" xfId="61" applyNumberFormat="1" applyFont="1" applyBorder="1" applyProtection="1">
      <protection locked="0"/>
    </xf>
    <xf numFmtId="164" fontId="52" fillId="0" borderId="11" xfId="61" applyNumberFormat="1" applyFont="1" applyBorder="1" applyProtection="1">
      <protection locked="0"/>
    </xf>
    <xf numFmtId="10" fontId="52" fillId="0" borderId="5" xfId="61" applyNumberFormat="1" applyFont="1" applyBorder="1" applyProtection="1">
      <protection locked="0"/>
    </xf>
    <xf numFmtId="164" fontId="52" fillId="0" borderId="2" xfId="61" applyNumberFormat="1" applyFont="1" applyBorder="1" applyAlignment="1" applyProtection="1">
      <alignment horizontal="left" indent="2"/>
      <protection locked="0"/>
    </xf>
    <xf numFmtId="164" fontId="52" fillId="0" borderId="3" xfId="61" applyNumberFormat="1" applyFont="1" applyBorder="1" applyProtection="1">
      <protection locked="0"/>
    </xf>
    <xf numFmtId="10" fontId="52" fillId="0" borderId="3" xfId="61" applyNumberFormat="1" applyFont="1" applyBorder="1" applyProtection="1">
      <protection locked="0"/>
    </xf>
    <xf numFmtId="10" fontId="52" fillId="0" borderId="16" xfId="61" applyNumberFormat="1" applyFont="1" applyBorder="1" applyProtection="1">
      <protection locked="0"/>
    </xf>
    <xf numFmtId="3" fontId="26" fillId="0" borderId="0" xfId="0" applyNumberFormat="1" applyFont="1" applyProtection="1">
      <protection locked="0"/>
    </xf>
    <xf numFmtId="164" fontId="33" fillId="0" borderId="0" xfId="1" applyNumberFormat="1" applyFont="1" applyFill="1" applyBorder="1" applyAlignment="1">
      <alignment horizontal="right"/>
    </xf>
    <xf numFmtId="165" fontId="42" fillId="0" borderId="0" xfId="2" applyFont="1" applyFill="1" applyBorder="1"/>
    <xf numFmtId="165" fontId="48" fillId="0" borderId="0" xfId="2" applyFont="1" applyFill="1" applyBorder="1"/>
    <xf numFmtId="165" fontId="48" fillId="0" borderId="0" xfId="2" applyFont="1" applyFill="1" applyBorder="1" applyAlignment="1">
      <alignment horizontal="center"/>
    </xf>
    <xf numFmtId="0" fontId="17" fillId="0" borderId="37" xfId="67" applyBorder="1" applyProtection="1">
      <protection locked="0"/>
    </xf>
    <xf numFmtId="164" fontId="33" fillId="0" borderId="3" xfId="1" applyNumberFormat="1" applyFont="1" applyFill="1" applyBorder="1" applyAlignment="1">
      <alignment horizontal="right"/>
    </xf>
    <xf numFmtId="0" fontId="17" fillId="0" borderId="0" xfId="65"/>
    <xf numFmtId="2" fontId="31" fillId="0" borderId="0" xfId="65" applyNumberFormat="1" applyFont="1"/>
    <xf numFmtId="205" fontId="31" fillId="0" borderId="0" xfId="65" applyNumberFormat="1" applyFont="1"/>
    <xf numFmtId="180" fontId="33" fillId="0" borderId="0" xfId="63" applyNumberFormat="1" applyFont="1" applyFill="1" applyBorder="1" applyAlignment="1"/>
    <xf numFmtId="180" fontId="33" fillId="0" borderId="8" xfId="69" applyNumberFormat="1" applyFont="1" applyFill="1" applyBorder="1" applyAlignment="1">
      <alignment horizontal="right"/>
    </xf>
    <xf numFmtId="164" fontId="33" fillId="0" borderId="0" xfId="69" applyNumberFormat="1" applyFont="1" applyFill="1" applyBorder="1" applyAlignment="1">
      <alignment horizontal="right"/>
    </xf>
    <xf numFmtId="10" fontId="31" fillId="0" borderId="0" xfId="64" applyNumberFormat="1" applyFont="1" applyFill="1"/>
    <xf numFmtId="183" fontId="33" fillId="0" borderId="8" xfId="64" applyNumberFormat="1" applyFont="1" applyFill="1" applyBorder="1"/>
    <xf numFmtId="182" fontId="33" fillId="0" borderId="8" xfId="64" applyNumberFormat="1" applyFont="1" applyFill="1" applyBorder="1"/>
    <xf numFmtId="0" fontId="0" fillId="0" borderId="3" xfId="0" applyBorder="1" applyProtection="1">
      <protection locked="0"/>
    </xf>
    <xf numFmtId="180" fontId="33" fillId="0" borderId="8" xfId="63" applyNumberFormat="1" applyFont="1" applyFill="1" applyBorder="1"/>
    <xf numFmtId="180" fontId="33" fillId="0" borderId="0" xfId="63" applyNumberFormat="1" applyFont="1" applyFill="1" applyBorder="1"/>
    <xf numFmtId="2" fontId="26" fillId="0" borderId="0" xfId="0" applyNumberFormat="1" applyFont="1" applyProtection="1">
      <protection locked="0"/>
    </xf>
    <xf numFmtId="164" fontId="1" fillId="0" borderId="0" xfId="0" applyNumberFormat="1" applyFont="1" applyProtection="1">
      <protection locked="0"/>
    </xf>
    <xf numFmtId="164" fontId="33" fillId="0" borderId="4" xfId="1" applyNumberFormat="1" applyFont="1" applyFill="1" applyBorder="1" applyAlignment="1">
      <alignment horizontal="right"/>
    </xf>
    <xf numFmtId="180" fontId="33" fillId="0" borderId="8" xfId="63" applyNumberFormat="1" applyFont="1" applyFill="1" applyBorder="1" applyAlignment="1"/>
    <xf numFmtId="0" fontId="1" fillId="0" borderId="28" xfId="0" applyFont="1" applyBorder="1" applyProtection="1">
      <protection locked="0"/>
    </xf>
    <xf numFmtId="205" fontId="26" fillId="0" borderId="0" xfId="0" applyNumberFormat="1" applyFont="1"/>
    <xf numFmtId="164" fontId="1" fillId="0" borderId="1" xfId="1" quotePrefix="1" applyNumberFormat="1" applyFont="1" applyBorder="1" applyAlignment="1">
      <alignment horizontal="center"/>
    </xf>
    <xf numFmtId="164" fontId="1" fillId="0" borderId="0" xfId="1" quotePrefix="1" applyNumberFormat="1" applyFont="1" applyAlignment="1">
      <alignment horizontal="center"/>
    </xf>
    <xf numFmtId="0" fontId="1" fillId="0" borderId="1" xfId="0" quotePrefix="1" applyFont="1" applyBorder="1" applyAlignment="1">
      <alignment horizontal="center"/>
    </xf>
    <xf numFmtId="0" fontId="1" fillId="0" borderId="0" xfId="0" quotePrefix="1" applyFont="1" applyAlignment="1">
      <alignment horizontal="center"/>
    </xf>
    <xf numFmtId="42" fontId="31" fillId="0" borderId="15" xfId="0" applyNumberFormat="1" applyFont="1" applyBorder="1" applyAlignment="1">
      <alignment horizontal="right"/>
    </xf>
    <xf numFmtId="42" fontId="31" fillId="0" borderId="63" xfId="0" applyNumberFormat="1" applyFont="1" applyBorder="1" applyAlignment="1">
      <alignment horizontal="right"/>
    </xf>
    <xf numFmtId="42" fontId="31" fillId="0" borderId="54" xfId="0" applyNumberFormat="1" applyFont="1" applyBorder="1" applyAlignment="1">
      <alignment horizontal="right"/>
    </xf>
    <xf numFmtId="0" fontId="1" fillId="0" borderId="3" xfId="0" applyFont="1" applyBorder="1"/>
    <xf numFmtId="164" fontId="0" fillId="0" borderId="0" xfId="1" applyNumberFormat="1" applyFont="1" applyBorder="1"/>
    <xf numFmtId="43" fontId="0" fillId="0" borderId="0" xfId="0" applyNumberFormat="1" applyProtection="1">
      <protection locked="0"/>
    </xf>
    <xf numFmtId="164" fontId="52" fillId="0" borderId="0" xfId="61" applyNumberFormat="1" applyFont="1" applyAlignment="1" applyProtection="1">
      <alignment horizontal="left" indent="2"/>
      <protection locked="0"/>
    </xf>
    <xf numFmtId="41" fontId="33" fillId="0" borderId="7" xfId="2" applyNumberFormat="1" applyFont="1" applyFill="1" applyBorder="1" applyProtection="1">
      <protection locked="0"/>
    </xf>
    <xf numFmtId="0" fontId="0" fillId="0" borderId="10" xfId="0" applyBorder="1"/>
    <xf numFmtId="0" fontId="0" fillId="0" borderId="1" xfId="0" applyBorder="1"/>
    <xf numFmtId="0" fontId="0" fillId="0" borderId="11" xfId="0" applyBorder="1"/>
    <xf numFmtId="169" fontId="0" fillId="0" borderId="0" xfId="4" applyNumberFormat="1" applyFont="1"/>
    <xf numFmtId="0" fontId="67" fillId="0" borderId="0" xfId="0" applyFont="1" applyProtection="1">
      <protection locked="0"/>
    </xf>
    <xf numFmtId="0" fontId="67" fillId="0" borderId="7" xfId="0" applyFont="1" applyBorder="1" applyProtection="1">
      <protection locked="0"/>
    </xf>
    <xf numFmtId="0" fontId="194" fillId="0" borderId="7" xfId="0" applyFont="1" applyBorder="1" applyProtection="1">
      <protection locked="0"/>
    </xf>
    <xf numFmtId="0" fontId="56" fillId="0" borderId="0" xfId="0" applyFont="1" applyProtection="1">
      <protection locked="0"/>
    </xf>
    <xf numFmtId="14" fontId="56" fillId="0" borderId="0" xfId="0" applyNumberFormat="1" applyFont="1"/>
    <xf numFmtId="0" fontId="62" fillId="0" borderId="0" xfId="0" applyFont="1" applyAlignment="1">
      <alignment horizontal="center" wrapText="1"/>
    </xf>
    <xf numFmtId="0" fontId="61" fillId="0" borderId="0" xfId="0" applyFont="1" applyAlignment="1">
      <alignment horizontal="center"/>
    </xf>
    <xf numFmtId="0" fontId="27" fillId="0" borderId="56" xfId="0" applyFont="1" applyBorder="1" applyAlignment="1">
      <alignment horizontal="left" vertical="center"/>
    </xf>
    <xf numFmtId="0" fontId="26" fillId="0" borderId="56" xfId="0" applyFont="1" applyBorder="1" applyAlignment="1">
      <alignment horizontal="right" vertical="center" wrapText="1"/>
    </xf>
    <xf numFmtId="0" fontId="59" fillId="0" borderId="0" xfId="0" quotePrefix="1" applyFont="1" applyAlignment="1">
      <alignment horizontal="left" vertical="top" wrapText="1"/>
    </xf>
    <xf numFmtId="0" fontId="27" fillId="0" borderId="12" xfId="0" applyFont="1" applyBorder="1" applyAlignment="1">
      <alignment horizontal="left" vertical="center"/>
    </xf>
    <xf numFmtId="0" fontId="26" fillId="0" borderId="12" xfId="0" applyFont="1" applyBorder="1" applyAlignment="1">
      <alignment horizontal="right" vertical="center" wrapText="1"/>
    </xf>
    <xf numFmtId="0" fontId="64" fillId="0" borderId="0" xfId="0" applyFont="1" applyAlignment="1">
      <alignment horizontal="center" vertical="center"/>
    </xf>
    <xf numFmtId="49" fontId="26" fillId="0" borderId="12" xfId="0" applyNumberFormat="1" applyFont="1" applyBorder="1" applyAlignment="1">
      <alignment horizontal="right" vertical="center" wrapText="1"/>
    </xf>
    <xf numFmtId="49" fontId="31" fillId="0" borderId="0" xfId="0" quotePrefix="1" applyNumberFormat="1" applyFont="1" applyAlignment="1">
      <alignment horizontal="left" vertical="top"/>
    </xf>
    <xf numFmtId="0" fontId="31" fillId="0" borderId="0" xfId="0" quotePrefix="1" applyFont="1" applyAlignment="1">
      <alignment horizontal="left" wrapText="1"/>
    </xf>
    <xf numFmtId="0" fontId="31" fillId="0" borderId="0" xfId="0" applyFont="1" applyAlignment="1">
      <alignment horizontal="left" wrapText="1"/>
    </xf>
    <xf numFmtId="0" fontId="36" fillId="2" borderId="0" xfId="0" quotePrefix="1" applyFont="1" applyFill="1" applyAlignment="1">
      <alignment horizontal="left" vertical="center" wrapText="1"/>
    </xf>
    <xf numFmtId="0" fontId="36" fillId="2" borderId="0" xfId="0" quotePrefix="1" applyFont="1" applyFill="1" applyAlignment="1">
      <alignment horizontal="left" wrapText="1"/>
    </xf>
    <xf numFmtId="0" fontId="54" fillId="0" borderId="0" xfId="0" quotePrefix="1" applyFont="1" applyAlignment="1">
      <alignment horizontal="left" wrapText="1"/>
    </xf>
    <xf numFmtId="0" fontId="35" fillId="0" borderId="0" xfId="0" quotePrefix="1" applyFont="1" applyAlignment="1">
      <alignment horizontal="left" wrapText="1"/>
    </xf>
    <xf numFmtId="0" fontId="33" fillId="0" borderId="0" xfId="0" applyFont="1" applyAlignment="1">
      <alignment horizontal="left" wrapText="1"/>
    </xf>
    <xf numFmtId="0" fontId="35" fillId="16" borderId="0" xfId="0" quotePrefix="1" applyFont="1" applyFill="1" applyAlignment="1">
      <alignment horizontal="left" wrapText="1"/>
    </xf>
    <xf numFmtId="0" fontId="26" fillId="0" borderId="0" xfId="0" quotePrefix="1" applyFont="1" applyAlignment="1">
      <alignment horizontal="left" wrapText="1"/>
    </xf>
    <xf numFmtId="0" fontId="26" fillId="0" borderId="0" xfId="0" applyFont="1" applyAlignment="1">
      <alignment horizontal="left" wrapText="1"/>
    </xf>
    <xf numFmtId="49" fontId="27" fillId="0" borderId="12" xfId="0" applyNumberFormat="1" applyFont="1" applyBorder="1" applyAlignment="1">
      <alignment horizontal="left" vertical="center"/>
    </xf>
    <xf numFmtId="0" fontId="29" fillId="0" borderId="0" xfId="0" quotePrefix="1" applyFont="1" applyAlignment="1">
      <alignment horizontal="left" wrapText="1"/>
    </xf>
    <xf numFmtId="49" fontId="35" fillId="0" borderId="4" xfId="0" applyNumberFormat="1" applyFont="1" applyBorder="1" applyAlignment="1">
      <alignment horizontal="center"/>
    </xf>
    <xf numFmtId="49" fontId="54" fillId="0" borderId="0" xfId="0" quotePrefix="1" applyNumberFormat="1" applyFont="1" applyAlignment="1">
      <alignment horizontal="left" vertical="top" wrapText="1"/>
    </xf>
    <xf numFmtId="49" fontId="39" fillId="0" borderId="0" xfId="0" quotePrefix="1" applyNumberFormat="1" applyFont="1" applyAlignment="1">
      <alignment horizontal="left" vertical="top" wrapText="1"/>
    </xf>
    <xf numFmtId="0" fontId="53" fillId="0" borderId="2" xfId="0" applyFont="1" applyBorder="1" applyAlignment="1">
      <alignment horizontal="center"/>
    </xf>
    <xf numFmtId="0" fontId="53" fillId="0" borderId="3" xfId="0" applyFont="1" applyBorder="1" applyAlignment="1">
      <alignment horizontal="center"/>
    </xf>
    <xf numFmtId="0" fontId="53" fillId="0" borderId="16" xfId="0" applyFont="1" applyBorder="1" applyAlignment="1">
      <alignment horizontal="center"/>
    </xf>
    <xf numFmtId="0" fontId="36" fillId="2" borderId="0" xfId="0" applyFont="1" applyFill="1" applyAlignment="1">
      <alignment horizontal="left" wrapText="1"/>
    </xf>
    <xf numFmtId="0" fontId="35" fillId="0" borderId="0" xfId="0" applyFont="1" applyAlignment="1">
      <alignment horizontal="left" wrapText="1"/>
    </xf>
    <xf numFmtId="0" fontId="36" fillId="2" borderId="6" xfId="0" applyFont="1" applyFill="1" applyBorder="1" applyAlignment="1">
      <alignment horizontal="left" wrapText="1"/>
    </xf>
    <xf numFmtId="0" fontId="31" fillId="0" borderId="6" xfId="0" quotePrefix="1" applyFont="1" applyBorder="1" applyAlignment="1">
      <alignment horizontal="left" wrapText="1"/>
    </xf>
    <xf numFmtId="0" fontId="31" fillId="0" borderId="0" xfId="0" quotePrefix="1" applyFont="1" applyAlignment="1">
      <alignment horizontal="left" wrapText="1" indent="2"/>
    </xf>
    <xf numFmtId="0" fontId="31" fillId="0" borderId="0" xfId="0" quotePrefix="1" applyFont="1" applyAlignment="1">
      <alignment horizontal="left" wrapText="1" indent="4"/>
    </xf>
    <xf numFmtId="0" fontId="33" fillId="0" borderId="0" xfId="0" applyFont="1" applyAlignment="1">
      <alignment horizontal="left" vertical="center" wrapText="1"/>
    </xf>
    <xf numFmtId="0" fontId="36" fillId="2" borderId="6" xfId="0" quotePrefix="1" applyFont="1" applyFill="1" applyBorder="1" applyAlignment="1">
      <alignment horizontal="left" vertical="center" wrapText="1"/>
    </xf>
    <xf numFmtId="0" fontId="31" fillId="0" borderId="6" xfId="0" quotePrefix="1" applyFont="1" applyBorder="1" applyAlignment="1">
      <alignment horizontal="left" wrapText="1" indent="2"/>
    </xf>
    <xf numFmtId="0" fontId="36" fillId="2" borderId="0" xfId="0" quotePrefix="1" applyFont="1" applyFill="1" applyAlignment="1">
      <alignment horizontal="left" vertical="top" wrapText="1"/>
    </xf>
    <xf numFmtId="0" fontId="36" fillId="2" borderId="6" xfId="0" quotePrefix="1" applyFont="1" applyFill="1" applyBorder="1" applyAlignment="1">
      <alignment horizontal="left" vertical="top" wrapText="1"/>
    </xf>
    <xf numFmtId="0" fontId="54" fillId="0" borderId="0" xfId="0" applyFont="1" applyAlignment="1">
      <alignment horizontal="left" wrapText="1" indent="3"/>
    </xf>
    <xf numFmtId="0" fontId="31" fillId="0" borderId="0" xfId="0" applyFont="1" applyAlignment="1">
      <alignment horizontal="left" wrapText="1" indent="3"/>
    </xf>
    <xf numFmtId="0" fontId="31" fillId="0" borderId="0" xfId="0" applyFont="1" applyAlignment="1">
      <alignment horizontal="left" wrapText="1" indent="1"/>
    </xf>
    <xf numFmtId="0" fontId="54" fillId="0" borderId="0" xfId="0" applyFont="1" applyAlignment="1">
      <alignment horizontal="left" wrapText="1" indent="1"/>
    </xf>
    <xf numFmtId="0" fontId="54" fillId="0" borderId="0" xfId="0" applyFont="1" applyAlignment="1">
      <alignment horizontal="left" wrapText="1"/>
    </xf>
    <xf numFmtId="49" fontId="26" fillId="0" borderId="0" xfId="0" quotePrefix="1" applyNumberFormat="1" applyFont="1" applyAlignment="1">
      <alignment horizontal="left" vertical="top" wrapText="1"/>
    </xf>
    <xf numFmtId="49" fontId="31" fillId="0" borderId="0" xfId="0" quotePrefix="1" applyNumberFormat="1" applyFont="1" applyAlignment="1">
      <alignment horizontal="left" vertical="top" wrapText="1"/>
    </xf>
    <xf numFmtId="0" fontId="31" fillId="0" borderId="0" xfId="0" quotePrefix="1" applyFont="1" applyAlignment="1">
      <alignment horizontal="left" wrapText="1" indent="1"/>
    </xf>
    <xf numFmtId="0" fontId="31" fillId="0" borderId="0" xfId="0" quotePrefix="1" applyFont="1" applyAlignment="1">
      <alignment horizontal="left" wrapText="1" indent="3"/>
    </xf>
    <xf numFmtId="0" fontId="36" fillId="2" borderId="0" xfId="0" applyFont="1" applyFill="1" applyAlignment="1">
      <alignment horizontal="left" vertical="center" wrapText="1"/>
    </xf>
    <xf numFmtId="201" fontId="53" fillId="0" borderId="0" xfId="0" applyNumberFormat="1" applyFont="1" applyAlignment="1">
      <alignment horizontal="center"/>
    </xf>
    <xf numFmtId="0" fontId="53" fillId="0" borderId="0" xfId="0" applyFont="1" applyAlignment="1">
      <alignment horizontal="center"/>
    </xf>
    <xf numFmtId="0" fontId="52" fillId="5" borderId="0" xfId="0" applyFont="1" applyFill="1" applyAlignment="1">
      <alignment horizontal="left" vertical="top" wrapText="1"/>
    </xf>
    <xf numFmtId="49" fontId="36" fillId="2" borderId="0" xfId="60" quotePrefix="1" applyNumberFormat="1" applyFont="1" applyFill="1" applyAlignment="1">
      <alignment horizontal="left"/>
    </xf>
    <xf numFmtId="49" fontId="30" fillId="0" borderId="4" xfId="60" applyNumberFormat="1" applyFont="1" applyBorder="1" applyAlignment="1">
      <alignment horizontal="center"/>
    </xf>
    <xf numFmtId="0" fontId="31" fillId="0" borderId="0" xfId="60" applyFont="1" applyAlignment="1">
      <alignment horizontal="left"/>
    </xf>
    <xf numFmtId="49" fontId="66" fillId="2" borderId="0" xfId="60" quotePrefix="1" applyNumberFormat="1" applyFont="1" applyFill="1" applyAlignment="1">
      <alignment horizontal="left"/>
    </xf>
    <xf numFmtId="0" fontId="26" fillId="0" borderId="0" xfId="0" applyFont="1" applyAlignment="1">
      <alignment horizontal="left"/>
    </xf>
    <xf numFmtId="49" fontId="29" fillId="0" borderId="0" xfId="0" quotePrefix="1" applyNumberFormat="1" applyFont="1" applyAlignment="1">
      <alignment horizontal="left" wrapText="1"/>
    </xf>
    <xf numFmtId="49" fontId="30" fillId="0" borderId="4" xfId="0" applyNumberFormat="1" applyFont="1" applyBorder="1" applyAlignment="1">
      <alignment horizontal="center" wrapText="1"/>
    </xf>
    <xf numFmtId="49" fontId="26" fillId="0" borderId="4" xfId="0" applyNumberFormat="1" applyFont="1" applyBorder="1" applyAlignment="1">
      <alignment horizontal="center" wrapText="1"/>
    </xf>
    <xf numFmtId="49" fontId="30" fillId="0" borderId="4" xfId="0" applyNumberFormat="1" applyFont="1" applyBorder="1" applyAlignment="1">
      <alignment horizontal="center"/>
    </xf>
    <xf numFmtId="49" fontId="26" fillId="0" borderId="4" xfId="0" applyNumberFormat="1" applyFont="1" applyBorder="1"/>
    <xf numFmtId="49" fontId="31" fillId="0" borderId="0" xfId="0" applyNumberFormat="1" applyFont="1" applyAlignment="1">
      <alignment horizontal="left" wrapText="1"/>
    </xf>
    <xf numFmtId="49" fontId="31" fillId="0" borderId="0" xfId="0" quotePrefix="1" applyNumberFormat="1" applyFont="1" applyAlignment="1">
      <alignment horizontal="left" wrapText="1"/>
    </xf>
    <xf numFmtId="17" fontId="21" fillId="5" borderId="2" xfId="0" quotePrefix="1" applyNumberFormat="1" applyFont="1" applyFill="1" applyBorder="1" applyAlignment="1">
      <alignment horizontal="center" wrapText="1"/>
    </xf>
    <xf numFmtId="17" fontId="21" fillId="5" borderId="3" xfId="0" quotePrefix="1" applyNumberFormat="1" applyFont="1" applyFill="1" applyBorder="1" applyAlignment="1">
      <alignment horizontal="center" wrapText="1"/>
    </xf>
    <xf numFmtId="17" fontId="21" fillId="5" borderId="16" xfId="0" quotePrefix="1" applyNumberFormat="1" applyFont="1" applyFill="1" applyBorder="1" applyAlignment="1">
      <alignment horizontal="center" wrapText="1"/>
    </xf>
    <xf numFmtId="17" fontId="21" fillId="12" borderId="2" xfId="0" quotePrefix="1" applyNumberFormat="1" applyFont="1" applyFill="1" applyBorder="1" applyAlignment="1">
      <alignment horizontal="center" wrapText="1"/>
    </xf>
    <xf numFmtId="17" fontId="21" fillId="12" borderId="3" xfId="0" quotePrefix="1" applyNumberFormat="1" applyFont="1" applyFill="1" applyBorder="1" applyAlignment="1">
      <alignment horizontal="center" wrapText="1"/>
    </xf>
    <xf numFmtId="17" fontId="21" fillId="12" borderId="16" xfId="0" quotePrefix="1" applyNumberFormat="1" applyFont="1" applyFill="1" applyBorder="1" applyAlignment="1">
      <alignment horizontal="center" wrapText="1"/>
    </xf>
    <xf numFmtId="0" fontId="0" fillId="0" borderId="0" xfId="0" applyAlignment="1">
      <alignment horizontal="left"/>
    </xf>
    <xf numFmtId="0" fontId="5" fillId="0" borderId="4" xfId="0" applyFont="1" applyBorder="1" applyAlignment="1">
      <alignment horizontal="center"/>
    </xf>
    <xf numFmtId="0" fontId="0" fillId="7" borderId="0" xfId="0" applyFill="1" applyAlignment="1">
      <alignment horizontal="center" vertical="top" wrapText="1"/>
    </xf>
    <xf numFmtId="0" fontId="0" fillId="0" borderId="0" xfId="0" applyAlignment="1">
      <alignment horizontal="left" wrapText="1"/>
    </xf>
    <xf numFmtId="0" fontId="19" fillId="10" borderId="0" xfId="0" applyFont="1" applyFill="1" applyAlignment="1">
      <alignment horizontal="left"/>
    </xf>
    <xf numFmtId="0" fontId="0" fillId="0" borderId="0" xfId="0"/>
    <xf numFmtId="0" fontId="19" fillId="10" borderId="0" xfId="0" applyFont="1" applyFill="1" applyAlignment="1">
      <alignment horizontal="center"/>
    </xf>
    <xf numFmtId="0" fontId="0" fillId="15" borderId="0" xfId="0" applyFill="1" applyAlignment="1">
      <alignment horizontal="center"/>
    </xf>
    <xf numFmtId="0" fontId="0" fillId="15" borderId="0" xfId="0" applyFill="1" applyAlignment="1">
      <alignment horizontal="center" vertical="center"/>
    </xf>
    <xf numFmtId="0" fontId="0" fillId="15" borderId="0" xfId="0" applyFill="1" applyAlignment="1">
      <alignment horizontal="center" vertical="center" wrapText="1"/>
    </xf>
  </cellXfs>
  <cellStyles count="742">
    <cellStyle name="&quot;X&quot; MEN" xfId="126" xr:uid="{8B88CF0D-B8DC-4950-950D-3E8FFB0DE30E}"/>
    <cellStyle name="%" xfId="127" xr:uid="{408D9C04-2AF0-4555-ADBE-FB764314E272}"/>
    <cellStyle name="******************************************" xfId="128" xr:uid="{3ACD795C-AA8B-4A59-8196-7A5CAAAC4006}"/>
    <cellStyle name=";;;" xfId="129" xr:uid="{F59901AF-ADFA-4543-9923-8A223C24F4FC}"/>
    <cellStyle name="\" xfId="130" xr:uid="{6CEBCC60-58C3-45CA-A6BB-D8FD4277678B}"/>
    <cellStyle name="\_BLS_Directories_v6" xfId="131" xr:uid="{50DDDCFA-B401-4E37-996F-91CA7C4496F2}"/>
    <cellStyle name="\_bluebirdacdil13" xfId="132" xr:uid="{E3074523-0483-422B-A30C-DB6203856D76}"/>
    <cellStyle name="\_ecomps7w" xfId="133" xr:uid="{82B45BAA-AA65-4C6A-93B4-8FA4383ABA29}"/>
    <cellStyle name="\_equitycomps8" xfId="134" xr:uid="{38C44B15-2C59-479C-9FB4-A7E4EA187299}"/>
    <cellStyle name="\_equitycomps9" xfId="135" xr:uid="{E7AEDC26-C351-4D7B-AC43-39FEF2DDE461}"/>
    <cellStyle name="\_houston Isabel" xfId="136" xr:uid="{7F109A22-6226-4BFB-ABE3-443FBA0E776D}"/>
    <cellStyle name="\_hybrid2" xfId="137" xr:uid="{E9321547-9E2C-45C9-893B-968A81D0F56E}"/>
    <cellStyle name="\_ITXCcomps" xfId="138" xr:uid="{8CC8754B-B75C-44DC-BD57-C37703490968}"/>
    <cellStyle name="\_newcomps16" xfId="139" xr:uid="{A22BBE9A-59C4-4F5D-A263-4582253DA0EA}"/>
    <cellStyle name="\_ravenpitch3" xfId="140" xr:uid="{E72D559F-4261-459B-9295-1196FEF2AB9B}"/>
    <cellStyle name="\_ravenpitch32" xfId="141" xr:uid="{DA6BFA5B-59EB-4626-90D9-FC7826CB2A55}"/>
    <cellStyle name="_Comma" xfId="142" xr:uid="{5E92BBE6-63DB-4E61-846E-E9D9A6AC579E}"/>
    <cellStyle name="_Currency" xfId="143" xr:uid="{90A1C13E-DC98-428B-98F7-C025D3A99AE5}"/>
    <cellStyle name="_Currency_Alamosa Standalone6" xfId="144" xr:uid="{F05E16AF-0F91-479B-861E-E39E2D3AF20B}"/>
    <cellStyle name="_Currency_Roberts Standalone14 Quarterly 2" xfId="145" xr:uid="{B2C57E55-BC62-4ECC-BE84-C4BC90B12050}"/>
    <cellStyle name="_CurrencySpace" xfId="146" xr:uid="{B0B09838-0925-43D0-842B-F33B5CD53D3C}"/>
    <cellStyle name="_Multiple" xfId="147" xr:uid="{B991746C-88DF-4988-8D37-91D24D498EFB}"/>
    <cellStyle name="_MultipleSpace" xfId="148" xr:uid="{CAA51CAE-61F8-4C54-B8AE-837CEBC41A3D}"/>
    <cellStyle name="_Percent" xfId="149" xr:uid="{1119301E-24C9-4743-B610-0FF489BCE3AE}"/>
    <cellStyle name="_Percent_US Asset Managers updated 06 30 2008_v01" xfId="150" xr:uid="{742B6114-E6D4-4EF9-8E0B-70EEAB9306B2}"/>
    <cellStyle name="_Percent_US Asset Managers updated 06 30 2008_v01_1" xfId="151" xr:uid="{FCCBCB5F-3024-466F-8E89-B765CA5254C2}"/>
    <cellStyle name="_Percent_US Asset Managers updated 09 30 2008" xfId="152" xr:uid="{A0717369-FF02-4100-A433-C082456AB2F9}"/>
    <cellStyle name="_PercentSpace" xfId="153" xr:uid="{88347691-1A5A-4938-9DC7-5BEBAFB83E8D}"/>
    <cellStyle name="_Smart_Balance_Analysis_v145" xfId="154" xr:uid="{F3649D90-3F29-44A3-8EC5-FE1ECE1EDA9A}"/>
    <cellStyle name="_US Asset Managers updated 06 30 2008_v01" xfId="155" xr:uid="{E09A6CAB-C264-4D1C-8F13-1B9B1EF073AA}"/>
    <cellStyle name="_US Asset Managers updated 09 30 2008" xfId="156" xr:uid="{53BDEAAC-31E4-4C47-A8A3-C99726BA44C7}"/>
    <cellStyle name="¢ Currency [1]" xfId="157" xr:uid="{AC226946-FB33-4BFE-A573-B55BF5A63A84}"/>
    <cellStyle name="¢ Currency [2]" xfId="158" xr:uid="{E45C99E8-E3A8-4EEE-A6E9-7CE8EACBB364}"/>
    <cellStyle name="¢ Currency [3]" xfId="159" xr:uid="{6FF71C45-29FF-4907-BB14-18C265D28A37}"/>
    <cellStyle name="£ BP" xfId="160" xr:uid="{A9449807-B8C7-4ACD-9030-7C97BDA41968}"/>
    <cellStyle name="£ Currency [0]" xfId="161" xr:uid="{8B15CE2F-54AA-4C7E-A876-DB217FB1FDA0}"/>
    <cellStyle name="£ Currency [1]" xfId="162" xr:uid="{C455B59C-DA5F-4204-ABE8-004877B884B3}"/>
    <cellStyle name="£ Currency [2]" xfId="163" xr:uid="{650C041D-F2D2-4388-A16F-1E09AB69AC22}"/>
    <cellStyle name="¥ JY" xfId="164" xr:uid="{B327CF07-4BA7-4E1E-B326-56440E473C0C}"/>
    <cellStyle name="1" xfId="165" xr:uid="{AEDAE3A3-28CA-4FB9-86C8-6150FAEAC3F3}"/>
    <cellStyle name="2line" xfId="166" xr:uid="{7AAA7779-5CBE-4F2B-B9A0-ADB5D0F46359}"/>
    <cellStyle name="Acctg" xfId="167" xr:uid="{CF0415A8-CCB5-479D-8957-0CDFE32B5873}"/>
    <cellStyle name="Acctg$" xfId="168" xr:uid="{01E40832-3551-4371-9AE8-75C6AF6A4E25}"/>
    <cellStyle name="adj_share" xfId="169" xr:uid="{AAF70A36-C019-48F3-930C-B7F466144365}"/>
    <cellStyle name="AF Column - IBM Cognos" xfId="5" xr:uid="{FAF78711-802C-46B6-A384-2F96E7118634}"/>
    <cellStyle name="AF Data - IBM Cognos" xfId="6" xr:uid="{0E90F2DD-8E5D-48B2-9A33-01F6D7936469}"/>
    <cellStyle name="AF Data 0 - IBM Cognos" xfId="7" xr:uid="{388D2634-83A9-4758-9CF6-09026F391CF6}"/>
    <cellStyle name="AF Data 1 - IBM Cognos" xfId="8" xr:uid="{67E57F16-6BDA-4BA1-AF0D-2870DDDFE5C2}"/>
    <cellStyle name="AF Data 2 - IBM Cognos" xfId="9" xr:uid="{088B4A3F-A4A8-4349-9324-47AC79A675A1}"/>
    <cellStyle name="AF Data 3 - IBM Cognos" xfId="10" xr:uid="{0AC1000E-9767-45A8-9FFC-E1EFDB2E170E}"/>
    <cellStyle name="AF Data 4 - IBM Cognos" xfId="11" xr:uid="{5C6FB98C-2F5B-4915-A41A-3A14D671162C}"/>
    <cellStyle name="AF Data 5 - IBM Cognos" xfId="12" xr:uid="{F2E2D7E1-4BD1-491B-9B9F-A91D642E2225}"/>
    <cellStyle name="AF Data Leaf - IBM Cognos" xfId="13" xr:uid="{4391D882-F051-4249-BE53-AE84F53FC3F7}"/>
    <cellStyle name="AF Header - IBM Cognos" xfId="14" xr:uid="{17E8ADF2-8D7A-439F-866E-B4224A751AE9}"/>
    <cellStyle name="AF Header 0 - IBM Cognos" xfId="15" xr:uid="{5EE3F880-78DD-4B93-B718-31BB8DACB903}"/>
    <cellStyle name="AF Header 1 - IBM Cognos" xfId="16" xr:uid="{7C1904FC-0C98-4A52-A0B8-3C527D6670A9}"/>
    <cellStyle name="AF Header 2 - IBM Cognos" xfId="17" xr:uid="{E23552CE-EFCC-4A96-BEE8-13A5AD68F4D2}"/>
    <cellStyle name="AF Header 3 - IBM Cognos" xfId="18" xr:uid="{E5DC56EB-1766-41BA-9426-06BFAD5FAF23}"/>
    <cellStyle name="AF Header 4 - IBM Cognos" xfId="19" xr:uid="{58169395-C43B-4395-991A-D99585F2D224}"/>
    <cellStyle name="AF Header 5 - IBM Cognos" xfId="20" xr:uid="{E3C065EF-6A18-41F6-AC7C-CDBFB343BE37}"/>
    <cellStyle name="AF Header Leaf - IBM Cognos" xfId="21" xr:uid="{E10BB2A2-47E1-4265-8677-0D76AA8B630E}"/>
    <cellStyle name="AF Row - IBM Cognos" xfId="22" xr:uid="{F56CF3B0-19F3-4B0D-9C47-A269D791270F}"/>
    <cellStyle name="AF Row 0 - IBM Cognos" xfId="23" xr:uid="{C80059EC-3D15-4AE1-A471-D3FAEC4283A3}"/>
    <cellStyle name="AF Row 1 - IBM Cognos" xfId="24" xr:uid="{7339E8F1-02C7-40AD-8E4F-9319C5A7BDE4}"/>
    <cellStyle name="AF Row 2 - IBM Cognos" xfId="25" xr:uid="{BB55DDCC-6952-49B4-8C93-75C6A646E046}"/>
    <cellStyle name="AF Row 3 - IBM Cognos" xfId="26" xr:uid="{E5D7A71B-B2B9-4250-81EA-D71154EB7D62}"/>
    <cellStyle name="AF Row 4 - IBM Cognos" xfId="27" xr:uid="{81FA6499-EC86-45B2-AA53-9AA80004832E}"/>
    <cellStyle name="AF Row 5 - IBM Cognos" xfId="28" xr:uid="{24D2EECB-852C-47CC-8585-165AE0653D31}"/>
    <cellStyle name="AF Row Leaf - IBM Cognos" xfId="29" xr:uid="{2589EECC-736D-4434-8FD5-08F071B4D72C}"/>
    <cellStyle name="AF Subnm - IBM Cognos" xfId="30" xr:uid="{AA87BF04-91B4-4B1A-93E9-889411EF15E6}"/>
    <cellStyle name="AF Title - IBM Cognos" xfId="31" xr:uid="{E43CD066-E504-4E47-BD86-C459F698916D}"/>
    <cellStyle name="AFE" xfId="170" xr:uid="{F10CD003-781D-44ED-8426-E9A1E4EB8848}"/>
    <cellStyle name="Afjusted" xfId="171" xr:uid="{BDC14D4A-C508-4AC9-9055-2BD443BBBCAE}"/>
    <cellStyle name="args.style" xfId="172" xr:uid="{148066FF-A975-4D4B-9980-DCF3E2B96EB8}"/>
    <cellStyle name="Arial 10" xfId="173" xr:uid="{968A27EA-4280-4CB4-B4F8-2D252EB07A63}"/>
    <cellStyle name="Arial 12" xfId="174" xr:uid="{4A6B3FAB-E2FE-432C-B81D-E5C7240B5D29}"/>
    <cellStyle name="ArialNormal" xfId="175" xr:uid="{1AFA67BC-26CC-4FB1-9CC1-A478C72ED475}"/>
    <cellStyle name="Ariel 7 pt. plain" xfId="176" xr:uid="{CEEC554D-94D7-498F-BA03-35BFE3EC46E5}"/>
    <cellStyle name="Austral." xfId="177" xr:uid="{C1C9C277-FCDD-46C5-B4B8-B021F83E2AED}"/>
    <cellStyle name="Balance" xfId="178" xr:uid="{16A4172F-D270-41EF-8D44-B091E81FEB25}"/>
    <cellStyle name="BalanceSheet" xfId="179" xr:uid="{A4C7AC60-B1F3-47E1-9875-C9EB6D589EDD}"/>
    <cellStyle name="Basic" xfId="180" xr:uid="{94E39999-1C7C-47AB-AB62-B7FC7ADBFEC9}"/>
    <cellStyle name="BlackStrike" xfId="181" xr:uid="{E795348C-A5FF-49E0-A183-BAC176F3B7BE}"/>
    <cellStyle name="BlackText" xfId="182" xr:uid="{7840E449-27B3-4FE8-9742-B7FB4C434DB1}"/>
    <cellStyle name="Blank [$]" xfId="183" xr:uid="{D6A2E25F-2436-4141-BC6E-1DA5F8EA7ACB}"/>
    <cellStyle name="Blank [%]" xfId="184" xr:uid="{6D602F77-922A-46D8-AD89-B172B502F2DF}"/>
    <cellStyle name="Blank [,]" xfId="185" xr:uid="{0FCA6759-0100-4018-B9BB-D47E5CD9E3EF}"/>
    <cellStyle name="Blank [1$]" xfId="186" xr:uid="{DF7DA69E-7B57-4855-BCE0-952E8AE4B770}"/>
    <cellStyle name="Blank [1%]" xfId="187" xr:uid="{62A6F383-55E5-4554-91AD-4DB41B455D6D}"/>
    <cellStyle name="Blank [1,]" xfId="188" xr:uid="{789811EA-3645-458B-B5ED-17699CFEF675}"/>
    <cellStyle name="Blank [2$]" xfId="189" xr:uid="{68410549-FE2B-4F04-AD57-C4029E018CD6}"/>
    <cellStyle name="Blank [2%]" xfId="190" xr:uid="{07060915-21F2-49CE-ADBC-0AB47FA45F20}"/>
    <cellStyle name="Blank [2,]" xfId="191" xr:uid="{90A714C7-8291-418D-AC7D-ADFFEACB8966}"/>
    <cellStyle name="Blank [3$]" xfId="192" xr:uid="{92DD9DB0-747A-4408-B536-567EC49A9BA5}"/>
    <cellStyle name="Blank [3%]" xfId="193" xr:uid="{067269EB-3B3F-408E-9FAE-D04A8DCBB49D}"/>
    <cellStyle name="Blank [3,]" xfId="194" xr:uid="{D32EDEE1-BD1B-4D63-9D70-4A818B6B68CA}"/>
    <cellStyle name="Blank Out" xfId="195" xr:uid="{75AB76AB-2935-4E8D-AD22-61E6AFF540CD}"/>
    <cellStyle name="Blue" xfId="196" xr:uid="{32E805A6-5DE0-4338-AA56-8C87DC2EDF6C}"/>
    <cellStyle name="Blue Table Text" xfId="197" xr:uid="{CBF608B9-C99C-47BF-AC1F-6619AD33FF18}"/>
    <cellStyle name="bluenodec" xfId="198" xr:uid="{BED189FA-2524-4965-B0DC-81062DB83DB2}"/>
    <cellStyle name="bluepercent" xfId="199" xr:uid="{E1F7E782-ACC7-469E-B9DC-AB46F256EBB5}"/>
    <cellStyle name="Body_$Dollars" xfId="200" xr:uid="{531069CE-4D9A-40B4-93FF-F66C5D0F0036}"/>
    <cellStyle name="Bold/Border" xfId="201" xr:uid="{3EF511A4-5625-45A3-A7FD-01B1E6708509}"/>
    <cellStyle name="BoldText" xfId="202" xr:uid="{1BC76EAC-91E7-420D-BF37-2380059BD430}"/>
    <cellStyle name="Border" xfId="203" xr:uid="{E627375E-2CD5-40DD-8B79-A420F16038D7}"/>
    <cellStyle name="Border Heavy" xfId="204" xr:uid="{F4E14ED8-E672-4C4E-90DD-8784A21F2FC0}"/>
    <cellStyle name="Border Thin" xfId="205" xr:uid="{92960A0E-CC4D-4C44-A732-FABDB34BA2A5}"/>
    <cellStyle name="Bottom bold border" xfId="206" xr:uid="{3B87B19C-8969-4F89-B5CE-33D69F1631E6}"/>
    <cellStyle name="Bottom Edge" xfId="207" xr:uid="{048B63C2-2286-4D5A-86E7-D032836198AC}"/>
    <cellStyle name="Bottom single border" xfId="208" xr:uid="{C8F4173E-F89B-4603-A268-C160D07D041D}"/>
    <cellStyle name="British Pound" xfId="209" xr:uid="{1A5B5F28-8952-4248-9E92-43C2FC7C3A0C}"/>
    <cellStyle name="Bullet" xfId="210" xr:uid="{4ADC0B12-ABE7-4D5F-81F9-93D69F6A3B5B}"/>
    <cellStyle name="Bullet [0]" xfId="211" xr:uid="{C2BC4AC2-0315-48BB-9B90-CB1291F36F7F}"/>
    <cellStyle name="Bullet [2]" xfId="212" xr:uid="{56FAA46D-F957-4329-8200-B0482CDA684C}"/>
    <cellStyle name="Bullet [4]" xfId="213" xr:uid="{65FF4054-9D6D-43ED-9200-BFB20A7C61BC}"/>
    <cellStyle name="Bullet_US Asset Managers updated 06 30 2008_v01" xfId="214" xr:uid="{9164A077-A192-4B71-B2B0-6C8A1ABCE766}"/>
    <cellStyle name="Business Description" xfId="215" xr:uid="{00A6798D-EF7C-4301-B849-69CBB5BFCF42}"/>
    <cellStyle name="c" xfId="216" xr:uid="{46CEC1CB-CAB1-44CA-A621-361D4738E19A}"/>
    <cellStyle name="Calc Currency (0)" xfId="217" xr:uid="{E37CC6E1-6F78-4C44-969A-46D3D17C9340}"/>
    <cellStyle name="Calc Currency (2)" xfId="218" xr:uid="{B83A5447-1EE9-4117-9E19-F47A27FC35A9}"/>
    <cellStyle name="Calc Percent (0)" xfId="219" xr:uid="{2A0F374F-B414-4CD6-993D-40CB6C770425}"/>
    <cellStyle name="Calc Percent (1)" xfId="220" xr:uid="{9FE3FE83-5C04-4C1F-8D14-5DF4912D82DD}"/>
    <cellStyle name="Calc Percent (2)" xfId="221" xr:uid="{7E63D306-1794-41A5-9B14-06DB66118CFC}"/>
    <cellStyle name="Calc Units (0)" xfId="222" xr:uid="{EBA6B8C7-74FE-499B-A940-9B94F0E97317}"/>
    <cellStyle name="Calc Units (1)" xfId="223" xr:uid="{323ABBD6-3725-40AA-BD1F-B3E1880F6249}"/>
    <cellStyle name="Calc Units (2)" xfId="224" xr:uid="{B0F11DAB-390A-47B9-83FE-124E0BD963D4}"/>
    <cellStyle name="Calculated Column - IBM Cognos" xfId="32" xr:uid="{AA026B3D-9363-471A-BF00-671229FBD8B2}"/>
    <cellStyle name="Calculated Column Name - IBM Cognos" xfId="33" xr:uid="{DF407733-F7C6-4A7E-B413-C67DF86B12BD}"/>
    <cellStyle name="Calculated Row - IBM Cognos" xfId="34" xr:uid="{C4F7E220-D842-47FE-B85C-D5ABF4F2D319}"/>
    <cellStyle name="Calculated Row Name - IBM Cognos" xfId="35" xr:uid="{B7CC06D6-1618-4159-A3AA-00FF8AAA8E22}"/>
    <cellStyle name="Canada" xfId="225" xr:uid="{3BDCBAD3-A49C-447C-BA05-898F2D4AFD5B}"/>
    <cellStyle name="Cash Flow Statement" xfId="226" xr:uid="{E09777B3-DD1B-4F3E-A632-737D04D5B802}"/>
    <cellStyle name="CashFlow" xfId="227" xr:uid="{6C308A60-BC2D-49F0-B035-F10542E9F0BE}"/>
    <cellStyle name="center" xfId="228" xr:uid="{BA776C5F-BF59-4369-A3B0-9EC695CB2E6F}"/>
    <cellStyle name="Cents" xfId="229" xr:uid="{7E3999A0-FDF1-49D7-8240-B465002D53C2}"/>
    <cellStyle name="Ch, Column Header" xfId="230" xr:uid="{FD79C1E4-09FF-4140-B4C2-94CC35CBAF16}"/>
    <cellStyle name="Check" xfId="231" xr:uid="{D1CDDC85-6141-4916-8426-027052FDCE07}"/>
    <cellStyle name="Client Name" xfId="232" xr:uid="{803E8D2B-697E-48D8-A07B-FD39408FDDC2}"/>
    <cellStyle name="Co. Names" xfId="233" xr:uid="{8B5049D0-7A79-48DE-8960-43636D190A2A}"/>
    <cellStyle name="COL HEADINGS" xfId="234" xr:uid="{E2737EAF-DE57-4C47-BFEE-BF6CA53567EF}"/>
    <cellStyle name="ColHeading" xfId="235" xr:uid="{E4226D4C-93FA-466C-9F89-5F030AAC80E2}"/>
    <cellStyle name="Column Header" xfId="236" xr:uid="{D77260A9-9D83-41EF-917C-EB903ED146AB}"/>
    <cellStyle name="Column Headings" xfId="237" xr:uid="{BF99AD4C-4EC8-4B4F-BE31-D4A22F0AC7C9}"/>
    <cellStyle name="Column Name - IBM Cognos" xfId="36" xr:uid="{181C8263-93EC-4DDA-882F-E6C210B1A30A}"/>
    <cellStyle name="Column Template - IBM Cognos" xfId="37" xr:uid="{7E5FD6EE-A7DB-4807-826F-43BE581D1214}"/>
    <cellStyle name="coma" xfId="238" xr:uid="{AAE42919-D708-4D5C-8CBC-5BE992104B2C}"/>
    <cellStyle name="comm" xfId="239" xr:uid="{B8645E7E-B202-4EDA-A9CC-29493A545326}"/>
    <cellStyle name="Comma" xfId="1" builtinId="3"/>
    <cellStyle name="Comma  - Style1" xfId="240" xr:uid="{0A012F46-A025-480B-A749-B5007D974D02}"/>
    <cellStyle name="Comma  - Style2" xfId="241" xr:uid="{FAC9E22F-9D7B-4152-A468-5803FABAF000}"/>
    <cellStyle name="Comma  - Style3" xfId="242" xr:uid="{B42A6A70-51F6-4712-8F81-063DAC68210B}"/>
    <cellStyle name="Comma  - Style4" xfId="243" xr:uid="{534B7D1D-2B3A-42BF-9146-E908CFA6EEDB}"/>
    <cellStyle name="Comma  - Style5" xfId="244" xr:uid="{8BA8AFC5-8860-4691-ADBA-61B0EE687AC9}"/>
    <cellStyle name="Comma  - Style6" xfId="245" xr:uid="{7976BF21-7722-4727-BF86-054E401D0597}"/>
    <cellStyle name="Comma  - Style7" xfId="246" xr:uid="{2E1B789C-D7CD-4CD4-90B5-CAAC7A77CFAD}"/>
    <cellStyle name="Comma  - Style8" xfId="247" xr:uid="{F3C95E29-9420-41BB-A1D9-3A52C487CA63}"/>
    <cellStyle name="Comma (1)" xfId="248" xr:uid="{04E8BABF-7AD5-4994-9EDC-925EF503256A}"/>
    <cellStyle name="Comma [0] Total" xfId="249" xr:uid="{48C5014B-E679-45E8-8AF8-DF31880036D5}"/>
    <cellStyle name="Comma [1]" xfId="250" xr:uid="{65B200F9-6171-492C-A4D2-3DDFDC4548DC}"/>
    <cellStyle name="Comma [1] Total" xfId="251" xr:uid="{5583EC77-90AC-4D23-87D4-417860955155}"/>
    <cellStyle name="Comma [1]_AM IPO Sept 03 v5" xfId="252" xr:uid="{05F1CBD9-4C31-49D5-AD6C-11895491F137}"/>
    <cellStyle name="Comma [2]" xfId="253" xr:uid="{22A5CAD7-55E7-49A9-8C11-F113E91965BE}"/>
    <cellStyle name="Comma [2] Total" xfId="254" xr:uid="{0DE7F645-2979-4341-ACB0-A785B5752FA8}"/>
    <cellStyle name="Comma [2]_AM IPO Sept 03 v5" xfId="255" xr:uid="{C2C16910-2282-4C38-BB0D-1B7A5A31564F}"/>
    <cellStyle name="Comma [3]" xfId="256" xr:uid="{3D4840E1-6979-4EF2-B0BF-CE2F1F653C68}"/>
    <cellStyle name="Comma 0" xfId="257" xr:uid="{2E5DB07B-2482-4064-922C-24CB6A5016BD}"/>
    <cellStyle name="Comma 0*" xfId="258" xr:uid="{2F3AE9FA-4CBA-4C7D-8A4E-57D2D63AFDFE}"/>
    <cellStyle name="Comma 0_07_06_01 Financial Model_v2.xls Chart 1" xfId="259" xr:uid="{494DBC3B-6A0A-4B56-AD74-A41B94108156}"/>
    <cellStyle name="Comma 10" xfId="739" xr:uid="{E2BEB0E1-74AA-4D06-8BA5-986919720AA7}"/>
    <cellStyle name="Comma 10 2" xfId="69" xr:uid="{027C7C59-FD42-43EF-B325-8B26FDE90EA9}"/>
    <cellStyle name="Comma 11" xfId="709" xr:uid="{6A48C60F-6D30-49BA-97D1-3437040359CE}"/>
    <cellStyle name="Comma 12" xfId="735" xr:uid="{AD8DA600-3434-4C10-90C3-9732EA8E9169}"/>
    <cellStyle name="Comma 13" xfId="725" xr:uid="{DBD041D6-69C3-4E7F-80D5-5B4DDBF53CD6}"/>
    <cellStyle name="Comma 14" xfId="741" xr:uid="{E1C1794C-4579-461B-AFBF-9457E8734280}"/>
    <cellStyle name="Comma 15" xfId="711" xr:uid="{AAAC0EA1-9F1A-4E21-B598-FE765521A94E}"/>
    <cellStyle name="Comma 16" xfId="736" xr:uid="{79959988-29AD-4BE2-B46B-E8AAE28328BC}"/>
    <cellStyle name="Comma 17" xfId="723" xr:uid="{FB11FDE2-518A-4E49-9E13-A770F26410BE}"/>
    <cellStyle name="Comma 2" xfId="68" xr:uid="{1783222D-1600-4690-9982-C963036B961A}"/>
    <cellStyle name="Comma 2 2" xfId="72" xr:uid="{F88EB174-3301-4B41-8096-5C44A995DC50}"/>
    <cellStyle name="Comma 2 2 2" xfId="82" xr:uid="{B5F7686B-3CE2-4E60-B3B1-A8355AB70E82}"/>
    <cellStyle name="Comma 2 3" xfId="120" xr:uid="{350751B1-93E9-4F60-912A-A062B02FC4BF}"/>
    <cellStyle name="Comma 2*" xfId="260" xr:uid="{1838D363-0180-4679-A5AD-BF88EAFFE0C5}"/>
    <cellStyle name="Comma 2_2002 SP Sector Returns1" xfId="261" xr:uid="{D97D2616-85FA-4309-A9D2-EF852574608A}"/>
    <cellStyle name="Comma 3" xfId="75" xr:uid="{78628C85-38EB-41F8-8CE1-B8450AEFFB95}"/>
    <cellStyle name="Comma 3 2" xfId="124" xr:uid="{A77557E3-9284-422B-BF00-52007CAA97D6}"/>
    <cellStyle name="Comma 3*" xfId="262" xr:uid="{B6474D74-F0EE-4D97-9C7D-BF550467ABAF}"/>
    <cellStyle name="Comma 4" xfId="76" xr:uid="{7721D8FF-B09A-4BA5-96AF-A4E325DE907C}"/>
    <cellStyle name="Comma 4 2" xfId="83" xr:uid="{FA4BEAE3-3F0A-4A42-8F54-EE22C59F90C8}"/>
    <cellStyle name="Comma 4 3" xfId="706" xr:uid="{36CDC82D-078E-4E99-BC9F-8C06A0DF7F52}"/>
    <cellStyle name="Comma 5" xfId="87" xr:uid="{3A2947CB-CFC3-4A85-97C7-4A819854FE23}"/>
    <cellStyle name="Comma 5 2" xfId="100" xr:uid="{C9915D75-C8E1-45F9-A437-63F6726490F4}"/>
    <cellStyle name="Comma 6" xfId="95" xr:uid="{74847031-A68A-4C25-85C5-8A2E4331E9D6}"/>
    <cellStyle name="Comma 6 2" xfId="715" xr:uid="{08EFC6D9-31C4-4691-810B-A40FDC5A488A}"/>
    <cellStyle name="Comma 7" xfId="721" xr:uid="{96ED2693-E91B-4486-B915-8849FCEC588B}"/>
    <cellStyle name="Comma 7 5" xfId="108" xr:uid="{395E8D0A-B047-4471-A426-DB0B0AB4E82A}"/>
    <cellStyle name="Comma 7 7" xfId="109" xr:uid="{CD9AFD41-EEFC-44D7-8CA0-9D4B0CF2BACB}"/>
    <cellStyle name="Comma 8" xfId="116" xr:uid="{C65DFBFF-61E6-4211-B726-85E91B29BDAC}"/>
    <cellStyle name="Comma 9" xfId="713" xr:uid="{99513EE7-7116-4AB1-AEBB-FC548321CB8E}"/>
    <cellStyle name="Comma Cents" xfId="263" xr:uid="{638F35AB-A7A9-4695-B2E6-CE11FD226658}"/>
    <cellStyle name="Comma*" xfId="264" xr:uid="{66FE3827-F580-439B-AE11-625C3E42F6C4}"/>
    <cellStyle name="Comma0" xfId="265" xr:uid="{37D0ECAA-C1D3-4723-A197-BF2206467630}"/>
    <cellStyle name="Comma0 - Modelo1" xfId="266" xr:uid="{6EA60437-6E94-4EF6-9F87-F9ECAB8A444B}"/>
    <cellStyle name="Comma0 - Style1" xfId="267" xr:uid="{AD0328A0-E661-40FC-B1C8-A25C88C38EDB}"/>
    <cellStyle name="Comma1 - Modelo2" xfId="268" xr:uid="{987BFB6D-B521-4D19-9A73-CB026D014AA2}"/>
    <cellStyle name="Comma1 - Style2" xfId="269" xr:uid="{14E5BAEB-247D-49B3-A011-A15836C0D578}"/>
    <cellStyle name="Comma-Rounded" xfId="270" xr:uid="{BC44E628-A5CA-4752-8B4E-B0D77F8C9D4E}"/>
    <cellStyle name="commas" xfId="271" xr:uid="{E1F10A5F-EAD6-464A-A6D4-7AC7E5D4BBBC}"/>
    <cellStyle name="Company" xfId="272" xr:uid="{09562851-CE68-4BA5-B1F3-E40FBF50D022}"/>
    <cellStyle name="CompanyName" xfId="273" xr:uid="{4EECD439-9D3A-4ABC-8701-EA87DC7A46C3}"/>
    <cellStyle name="Copied" xfId="274" xr:uid="{59799C22-49F3-440C-9037-A37DD4AE25CD}"/>
    <cellStyle name="Cover Date" xfId="275" xr:uid="{ED2AA0C9-0B8A-495B-A227-61C5DBBA07D3}"/>
    <cellStyle name="Cover Subtitle" xfId="276" xr:uid="{541CB362-F4E2-4EB1-AFE3-F9DE82EABDA3}"/>
    <cellStyle name="Cover Title" xfId="277" xr:uid="{89377AB8-4139-4DB0-94E8-54AF257806C2}"/>
    <cellStyle name="Cur" xfId="278" xr:uid="{B1416933-41E8-402A-8C1C-DFDD2E2AE649}"/>
    <cellStyle name="CurRatio" xfId="279" xr:uid="{42E3EB81-0872-42A2-9B4D-ACAF968705D8}"/>
    <cellStyle name="Currency" xfId="3" builtinId="4"/>
    <cellStyle name="Currency ($)" xfId="280" xr:uid="{E527D96B-4A07-4258-9023-DAAE081155A8}"/>
    <cellStyle name="Currency (£)" xfId="281" xr:uid="{DA334FAE-2D4A-45A1-9B9B-E1C831498C01}"/>
    <cellStyle name="Currency [0] Total" xfId="282" xr:uid="{2B232452-6E79-434F-BF63-9B4CE6CB5081}"/>
    <cellStyle name="Currency [1]" xfId="283" xr:uid="{E4154B38-390E-492D-999A-137A33FF3E5B}"/>
    <cellStyle name="Currency [1] Total" xfId="284" xr:uid="{127FD1CD-3583-40E1-A5B6-56AE34971E3E}"/>
    <cellStyle name="Currency [1]_AM IPO Sept 03 v5" xfId="285" xr:uid="{3CB38B59-1B89-44C7-B6D7-73B73C9C8317}"/>
    <cellStyle name="Currency [2]" xfId="286" xr:uid="{F9D7F076-FD0A-473B-AAF2-BBD2BDD8E609}"/>
    <cellStyle name="Currency [2] Total" xfId="287" xr:uid="{6DCE4858-A34E-4A8A-A8CC-E86C8F173291}"/>
    <cellStyle name="Currency [2]_AM IPO Sept 03 v5" xfId="288" xr:uid="{6B4B90BA-65F4-4B93-B477-2756E07BA60E}"/>
    <cellStyle name="Currency [3]" xfId="289" xr:uid="{ED6BE53D-BBE8-4340-98B7-A12D008D7FD0}"/>
    <cellStyle name="Currency 0" xfId="290" xr:uid="{B3AE5647-2F9F-40D5-802B-65F38C2E14FA}"/>
    <cellStyle name="Currency 10" xfId="732" xr:uid="{949F5109-E076-4513-8C25-E7220F90F785}"/>
    <cellStyle name="Currency 11" xfId="728" xr:uid="{7AF8BCC6-DE04-441B-B39E-F274E7A1AC54}"/>
    <cellStyle name="Currency 12" xfId="730" xr:uid="{4D0A90BE-6413-409A-8DF3-55CFF90C9131}"/>
    <cellStyle name="Currency 13" xfId="729" xr:uid="{2CD645E1-BC9C-42B1-8FAF-8F24B522793C}"/>
    <cellStyle name="Currency 2" xfId="63" xr:uid="{92C48F1F-6316-4ADF-B004-24C6DD67EED9}"/>
    <cellStyle name="Currency 2 2" xfId="71" xr:uid="{DD94EEF2-56DC-4791-9D65-7FA4A9272C68}"/>
    <cellStyle name="Currency 2 2 2" xfId="718" xr:uid="{3FAF2178-0A54-4828-89EB-CA2201BC342B}"/>
    <cellStyle name="Currency 2 3" xfId="102" xr:uid="{BC62307C-BDC5-41F3-B3C1-82AE411F7BF8}"/>
    <cellStyle name="Currency 2 4" xfId="291" xr:uid="{1F6E026C-2D50-44E1-8F20-7794126309ED}"/>
    <cellStyle name="Currency 2 Total" xfId="292" xr:uid="{37B5F533-6E09-4193-A3E7-79253FB5A566}"/>
    <cellStyle name="Currency 2*" xfId="293" xr:uid="{C859C81B-1CBA-473E-AD02-EA7AFB2BAAAA}"/>
    <cellStyle name="Currency 2_% Change" xfId="294" xr:uid="{913E3744-7526-4D86-9CEF-8C5EB41AD923}"/>
    <cellStyle name="Currency 3" xfId="716" xr:uid="{15EC24E0-72B1-4F0E-8A14-70080E3A0285}"/>
    <cellStyle name="Currency 3*" xfId="295" xr:uid="{8D8BD406-1587-43A7-BACC-8255D242F008}"/>
    <cellStyle name="Currency 4" xfId="122" xr:uid="{983E23FA-81E5-4E69-8A1C-8E9F5176828F}"/>
    <cellStyle name="Currency 5" xfId="719" xr:uid="{4F4CA0D4-5FF3-4E11-B848-4754BB52BB42}"/>
    <cellStyle name="Currency 6" xfId="737" xr:uid="{1DF49697-D55B-4178-A550-48AF9B5067E8}"/>
    <cellStyle name="Currency 7" xfId="707" xr:uid="{FABD704A-D44E-406E-B72A-2922C46D7666}"/>
    <cellStyle name="Currency 8" xfId="733" xr:uid="{7C3247C5-CC14-42EE-B9A1-E99C73042DB6}"/>
    <cellStyle name="Currency 9" xfId="727" xr:uid="{901CB6B2-1A68-4D5D-BD61-37DCD0668CAD}"/>
    <cellStyle name="Currency*" xfId="296" xr:uid="{3B706BF2-4E69-481C-9B96-D276DC2FB832}"/>
    <cellStyle name="Currency0" xfId="297" xr:uid="{B83093A5-08FE-44A3-808B-3AC78F95CB0B}"/>
    <cellStyle name="Currency1" xfId="298" xr:uid="{29878589-51B9-4E18-B0D4-CEA8C544426B}"/>
    <cellStyle name="Currency2" xfId="299" xr:uid="{E70E8E46-DE37-4E98-BC32-9EB08E7BEF91}"/>
    <cellStyle name="Currency-Rounded" xfId="300" xr:uid="{0A0A4834-5F0C-4BB1-B133-AA5286D271E9}"/>
    <cellStyle name="custom" xfId="301" xr:uid="{ADC216AC-33D8-485E-8C06-D5FC4817A6D4}"/>
    <cellStyle name="d" xfId="302" xr:uid="{29CCF974-69FA-4DBD-A200-6E8042F8C82E}"/>
    <cellStyle name="Dash" xfId="303" xr:uid="{0A6B73F3-FEF0-4BD7-AA47-5BF515FD8E5E}"/>
    <cellStyle name="data" xfId="304" xr:uid="{1F61918C-71A6-4828-99F5-B36E6AFC2066}"/>
    <cellStyle name="Date" xfId="305" xr:uid="{C0951F5A-46BD-4342-AC20-77EE5DFB00C3}"/>
    <cellStyle name="Date [Abbreviated]" xfId="306" xr:uid="{FD5B8FAA-F72B-4EF1-B68D-7E1BDF351392}"/>
    <cellStyle name="Date [D-M-Y]" xfId="307" xr:uid="{5C0B0FDD-FC49-4ADD-8AAE-002605763442}"/>
    <cellStyle name="Date [Long Europe]" xfId="308" xr:uid="{FFA3E2C4-83DF-4375-B160-D3B097F414B4}"/>
    <cellStyle name="Date [Long U.S.]" xfId="309" xr:uid="{84666B6D-04A1-421C-8B75-2383DD14B53B}"/>
    <cellStyle name="Date [M/D/Y]" xfId="310" xr:uid="{026640B4-B20E-4B01-A08F-F5E96FF6C720}"/>
    <cellStyle name="Date [M/Y]" xfId="311" xr:uid="{5DA23317-60B4-49FF-B1E2-6F383BE2CFA0}"/>
    <cellStyle name="Date [M-Y]" xfId="312" xr:uid="{C46D0286-914A-409E-B4D5-7A31D66278EF}"/>
    <cellStyle name="Date [Short Europe]" xfId="313" xr:uid="{BDDC677A-D33B-4EEF-9913-62C5ED819C31}"/>
    <cellStyle name="Date [Short U.S.]" xfId="314" xr:uid="{874D5227-494F-4B17-A3B0-F4682AD074FE}"/>
    <cellStyle name="Date Aligned" xfId="315" xr:uid="{73402011-67B7-43C6-B056-1D704C11C595}"/>
    <cellStyle name="Date Aligned*" xfId="316" xr:uid="{8524C6A3-555E-420E-9BD6-64ABE093B398}"/>
    <cellStyle name="Date Aligned_2002 SP Sector Returns1" xfId="317" xr:uid="{3A0E3132-3B20-406D-B521-9EF7FDCEDF05}"/>
    <cellStyle name="Date Day" xfId="318" xr:uid="{73A5780B-B810-46D4-AFF9-318CA85F2AAA}"/>
    <cellStyle name="Date Year" xfId="319" xr:uid="{2125A925-61DD-4D28-B788-4F5E90074AEE}"/>
    <cellStyle name="Date_3YRPLAN3" xfId="320" xr:uid="{085D5A64-0D3E-47BF-A201-EE2B04867832}"/>
    <cellStyle name="DateLong" xfId="321" xr:uid="{3ACD2A25-1A1A-4AA0-9A95-F2CDA896147D}"/>
    <cellStyle name="Dates" xfId="322" xr:uid="{3DDBE7D1-C980-4D25-88AD-D2346B7D25A1}"/>
    <cellStyle name="DateYear" xfId="323" xr:uid="{7A3BA8AC-4581-4080-AAF2-B2C3A5C38425}"/>
    <cellStyle name="DateYearEstimate" xfId="324" xr:uid="{730A03B9-6BBE-4BFF-8C6F-E56E56A7E962}"/>
    <cellStyle name="DateYearWholeEstimate" xfId="325" xr:uid="{B2FFA793-8714-40CD-BF3E-F09F0B1F9C8B}"/>
    <cellStyle name="Dezimal [0]_pldt" xfId="326" xr:uid="{7B837AF0-431C-4B16-A3C5-2DBBB8853169}"/>
    <cellStyle name="Dezimal_pldt" xfId="327" xr:uid="{7EFF75F2-2526-4596-9DA5-5FB8491FE258}"/>
    <cellStyle name="Dia" xfId="328" xr:uid="{B04AD8E9-5126-4378-B687-E8083F0AFE31}"/>
    <cellStyle name="Differs From Base - IBM Cognos" xfId="38" xr:uid="{A636B93A-DF41-4ED3-98D5-4B249B148A56}"/>
    <cellStyle name="dolar whole" xfId="329" xr:uid="{CB5BB4A7-A00A-48ED-9946-7AA068D098F6}"/>
    <cellStyle name="dollar" xfId="330" xr:uid="{0AF6B787-FF74-4142-8E6D-DBA2F99A5521}"/>
    <cellStyle name="Dollar (Canadian)" xfId="331" xr:uid="{577DCC34-A136-4085-B5AC-0C0783C6B95D}"/>
    <cellStyle name="Dollar Whole" xfId="332" xr:uid="{98BE7C91-48A0-427D-9C30-BAA48785C8D3}"/>
    <cellStyle name="Dollar_EV - Sub" xfId="333" xr:uid="{57B740E7-0ED4-416B-A191-7EC3B1E4D7B5}"/>
    <cellStyle name="Dollars" xfId="334" xr:uid="{200AE33B-4331-4106-AAA7-37A2A0BC87F1}"/>
    <cellStyle name="DollarWhole" xfId="335" xr:uid="{72BE7D7A-92E4-42AD-B042-C0D4D10C02C9}"/>
    <cellStyle name="Dotted Line" xfId="336" xr:uid="{E98AC12F-2953-4C4D-9FB0-E63C1E91BBCC}"/>
    <cellStyle name="Double Accounting" xfId="337" xr:uid="{A536565F-E85D-47C6-859C-69D415CB4784}"/>
    <cellStyle name="Double Underline" xfId="338" xr:uid="{1B912528-000F-46D8-B1FC-C00EE2B66479}"/>
    <cellStyle name="Download" xfId="339" xr:uid="{787B0741-821B-4B33-9863-AEDFBC4357BE}"/>
    <cellStyle name="DP1" xfId="340" xr:uid="{3168A0A3-7BA2-495D-BBC6-88542060148A}"/>
    <cellStyle name="Edit - IBM Cognos" xfId="39" xr:uid="{1FEBEEA5-D052-4F9A-8F2D-8F92EA94924E}"/>
    <cellStyle name="Encabez1" xfId="341" xr:uid="{410B11BC-80DE-4BFD-91BB-2450F4CA7047}"/>
    <cellStyle name="Encabez2" xfId="342" xr:uid="{58BF950D-5677-4D05-B402-6ED27F32965B}"/>
    <cellStyle name="Entered" xfId="343" xr:uid="{ED145474-780B-4D74-B4CD-62F447F854C5}"/>
    <cellStyle name="EPS" xfId="344" xr:uid="{D18CBAA7-413F-4B2D-AA5A-52BDD156951B}"/>
    <cellStyle name="Euro" xfId="345" xr:uid="{DC47EC66-47F8-4CC5-BDAA-F10C069149A8}"/>
    <cellStyle name="F2" xfId="346" xr:uid="{4384C3AA-6619-4BCC-8AB0-AC0422500E32}"/>
    <cellStyle name="F3" xfId="347" xr:uid="{445FE4AC-9AD1-4D2E-930D-B7378BE41369}"/>
    <cellStyle name="F4" xfId="348" xr:uid="{A0DBAE9E-CCE5-4750-9616-2AF694780B89}"/>
    <cellStyle name="F5" xfId="349" xr:uid="{5847ABDC-8FFE-45CB-BC04-44CD0A2B306F}"/>
    <cellStyle name="F6" xfId="350" xr:uid="{68158E4E-EAD3-4DC5-84C3-3212710D0BF1}"/>
    <cellStyle name="F7" xfId="351" xr:uid="{09499C69-4F2E-4A6F-A7F6-75683B7671E7}"/>
    <cellStyle name="F8" xfId="352" xr:uid="{DCB6A891-E6AB-4412-8EE3-6F3701A9A903}"/>
    <cellStyle name="Fijo" xfId="353" xr:uid="{7411FFE0-8347-43C4-A525-ED20DCBBC4E4}"/>
    <cellStyle name="Financiero" xfId="354" xr:uid="{9E4192AA-BBCA-4ABC-818B-FFC8BB07BFA5}"/>
    <cellStyle name="Fixed" xfId="355" xr:uid="{DEAA5287-178D-4F5C-8CE6-296200331588}"/>
    <cellStyle name="Footer SBILogo1" xfId="356" xr:uid="{7ECA3753-BA9F-432F-A729-89D30E1C8152}"/>
    <cellStyle name="Footer SBILogo2" xfId="357" xr:uid="{2A4B40DF-5CE5-4C86-8B76-4EFF184F8182}"/>
    <cellStyle name="Footnote" xfId="358" xr:uid="{50C691A1-F1A9-4A86-9230-8D0187B2FC43}"/>
    <cellStyle name="Footnote Reference" xfId="359" xr:uid="{897CB1DA-9C1A-437F-BE1B-72AD3A37E841}"/>
    <cellStyle name="Footnote_% Change" xfId="360" xr:uid="{A34AC576-A2D0-4D4A-BA82-BFC3F5A3EC15}"/>
    <cellStyle name="Footnotes" xfId="361" xr:uid="{CE018C8E-11C1-42F9-8944-89F1DE49A3B1}"/>
    <cellStyle name="Format ($)" xfId="362" xr:uid="{10E436DB-450E-4335-8202-2CA580424283}"/>
    <cellStyle name="Format (no $)" xfId="363" xr:uid="{D26D2789-767B-4464-AE68-CE165CE83CCA}"/>
    <cellStyle name="Formula" xfId="364" xr:uid="{7D0DE4FA-0636-4CB3-A0D9-A142295BB4C0}"/>
    <cellStyle name="Formula - IBM Cognos" xfId="40" xr:uid="{1CF3AE20-0E2D-498B-B97C-DF8426EE0E8A}"/>
    <cellStyle name="Fraction" xfId="365" xr:uid="{5FBB8A83-A3C3-45CE-AEE7-BCCA31CE2865}"/>
    <cellStyle name="Fraction [8]" xfId="366" xr:uid="{DFD8799F-112A-43BF-873A-507DB9D9F7F6}"/>
    <cellStyle name="Fraction [Bl]" xfId="367" xr:uid="{DEF477DC-E8A9-4AA3-89B2-ADCA6EE1EF14}"/>
    <cellStyle name="Fraction_US Asset Managers updated 09 30 2008" xfId="368" xr:uid="{D1AC1FDE-A3F4-4F52-9929-A9FEE2F1FAE0}"/>
    <cellStyle name="General" xfId="369" xr:uid="{BE60C945-8FDB-45D3-A0E6-E148164A8DC9}"/>
    <cellStyle name="General [C]" xfId="370" xr:uid="{CDF1B71B-B560-451E-B74D-51D5556D3B54}"/>
    <cellStyle name="General [R]" xfId="371" xr:uid="{895066D7-22A5-4C49-938D-156FEA53A82E}"/>
    <cellStyle name="general_Owens CC Model_v26" xfId="372" xr:uid="{AE9471C8-687D-49F6-BC01-CE8361797684}"/>
    <cellStyle name="Grand Total" xfId="373" xr:uid="{8F2E9337-CE7C-4875-BA97-75FA5C508C43}"/>
    <cellStyle name="Grey" xfId="374" xr:uid="{336501A8-5BEF-4E33-9087-C05F2FB96D75}"/>
    <cellStyle name="Group Name - IBM Cognos" xfId="41" xr:uid="{F116B93A-BC79-4CB6-A70D-6BA5B4F29D98}"/>
    <cellStyle name="growth" xfId="375" xr:uid="{D6C7C5CA-22BF-4272-BAAC-D59E2B6EEE1B}"/>
    <cellStyle name="GrowthRate" xfId="376" xr:uid="{AFDF64B2-1125-4D89-B4FE-25283DBBE438}"/>
    <cellStyle name="GrowthSeq" xfId="377" xr:uid="{19E03F0B-1B1B-4F46-8172-FA9BBE8D5299}"/>
    <cellStyle name="H 2" xfId="378" xr:uid="{98614610-369D-4EF2-996F-685F8D1FB74B}"/>
    <cellStyle name="Hard Percent" xfId="379" xr:uid="{85CBE713-787D-485F-84B0-CD6C76CA86C7}"/>
    <cellStyle name="Header" xfId="380" xr:uid="{56B03E54-B7B7-4283-AB21-075355E597B9}"/>
    <cellStyle name="Header Draft Stamp" xfId="381" xr:uid="{9261E6EF-5F42-451C-861C-CD0A74A6E430}"/>
    <cellStyle name="Header_% Change" xfId="382" xr:uid="{311F9E5F-B450-4750-8A5F-81B7B292AC02}"/>
    <cellStyle name="Header1" xfId="383" xr:uid="{18AE6B48-B22E-40A2-A958-7740DB0D6333}"/>
    <cellStyle name="Header2" xfId="384" xr:uid="{596FCE1F-79F3-4B96-880E-EAD124D9DC9D}"/>
    <cellStyle name="headers" xfId="385" xr:uid="{4D1B4747-6637-400B-B1B0-5A1CEB9D97A8}"/>
    <cellStyle name="heading" xfId="386" xr:uid="{DD5E0C3E-3AC1-4026-9F44-13913020F6A2}"/>
    <cellStyle name="Heading 1 Above" xfId="387" xr:uid="{E3EE8CBB-C7B4-4436-BB63-CDB866C06A92}"/>
    <cellStyle name="Heading 1+" xfId="388" xr:uid="{10EE40D9-4D10-4EFB-B713-79ACC1D357DA}"/>
    <cellStyle name="Heading 2 Below" xfId="389" xr:uid="{CA238114-770A-41BC-8916-A93B2C78B9D8}"/>
    <cellStyle name="Heading 2+" xfId="390" xr:uid="{36943CB9-F647-41EB-A8B1-BA7912A2ED49}"/>
    <cellStyle name="Heading 3+" xfId="391" xr:uid="{207AFC52-79DB-4944-BDF3-E7535F9EA0FC}"/>
    <cellStyle name="HEADINGS" xfId="392" xr:uid="{3B6278D2-A630-4CEC-93AC-9FA00E35B551}"/>
    <cellStyle name="HEADINGSTOP" xfId="393" xr:uid="{D26867DA-C8C4-4DD5-8878-190D70781106}"/>
    <cellStyle name="Helv 9 ctr wrap" xfId="394" xr:uid="{305BC5B5-411E-490D-97A6-76AF812B17FD}"/>
    <cellStyle name="Helv 9 lft wrap" xfId="395" xr:uid="{F9E4ED1F-3DB2-4318-8E1A-9E85CB221C6F}"/>
    <cellStyle name="Hidden" xfId="396" xr:uid="{EFE6B3CD-ECEF-4A80-A99F-0D349A71F84B}"/>
    <cellStyle name="Hold Values - IBM Cognos" xfId="42" xr:uid="{617626C1-3AC6-4600-83A8-7DBE05FC4C21}"/>
    <cellStyle name="Income" xfId="397" xr:uid="{6B2C481C-0FAE-4BCA-8B2A-55ACD8797367}"/>
    <cellStyle name="income statement" xfId="398" xr:uid="{2DCD7BBA-D3D6-4EA8-8190-A8591BC2A91C}"/>
    <cellStyle name="IncomeStatement" xfId="399" xr:uid="{FD976E8B-E505-4963-954D-DE50A78CF28A}"/>
    <cellStyle name="Indented [0]" xfId="400" xr:uid="{C22FE13E-CA6C-483C-B11D-B8C272024DE0}"/>
    <cellStyle name="Indented [2]" xfId="401" xr:uid="{EE27D5B7-41C6-4C25-BF28-F66E792E80B3}"/>
    <cellStyle name="Indented [4]" xfId="402" xr:uid="{9A3A6D15-1FD9-4BDD-93CF-25099E3E5E95}"/>
    <cellStyle name="Indented [6]" xfId="403" xr:uid="{5D9B1024-329A-4A03-B7A8-B68357BBBDC0}"/>
    <cellStyle name="Index" xfId="404" xr:uid="{5BA826BD-3FAA-4CAC-8805-8FAF2D51400C}"/>
    <cellStyle name="Input [yellow]" xfId="405" xr:uid="{26AA233F-C82B-488B-AEA6-50A61CCF22B1}"/>
    <cellStyle name="input cell" xfId="406" xr:uid="{913AD8E0-3985-463E-9FB5-D889723B8EA5}"/>
    <cellStyle name="Input Currency" xfId="407" xr:uid="{6EDB4DFA-DA67-445E-99E2-32B0694555E5}"/>
    <cellStyle name="Input Currency 2" xfId="408" xr:uid="{B4F87308-950A-4D02-A4A5-29ED6D3B133B}"/>
    <cellStyle name="Input Currency_CLEC Comps_Book 2Q01" xfId="409" xr:uid="{150EF26B-FDBD-468A-AD0F-BEFF631C9D96}"/>
    <cellStyle name="Input Multiple" xfId="410" xr:uid="{7755853E-98AC-4A41-B871-E5FF3871CBAB}"/>
    <cellStyle name="Input Percent" xfId="411" xr:uid="{4F5ABBC7-CBD9-4208-BEE7-6B4E8C54667C}"/>
    <cellStyle name="Input0" xfId="412" xr:uid="{E62C42BD-E170-4C81-B3D0-9ABC08770065}"/>
    <cellStyle name="Input1" xfId="413" xr:uid="{0EB9C595-E2E9-4FE2-B1F2-CD881DC49FE3}"/>
    <cellStyle name="Input2" xfId="414" xr:uid="{9A353162-9EB9-4D45-A3D6-62D492F681CE}"/>
    <cellStyle name="InputCurrency" xfId="415" xr:uid="{AAF57CCB-F9D2-40B6-9C72-7DB482F53939}"/>
    <cellStyle name="InputCurrency2" xfId="416" xr:uid="{51CC26FA-390A-40C2-B41D-016C47A3744F}"/>
    <cellStyle name="InputMultiple1" xfId="417" xr:uid="{80DBD384-3E40-4A17-A3CB-F6A486D27CBD}"/>
    <cellStyle name="InputNormal" xfId="418" xr:uid="{C9D851D8-2B3F-4CDB-A541-91FF4503ACF7}"/>
    <cellStyle name="InputPercent1" xfId="419" xr:uid="{1657299B-7C74-41F6-96E9-BEE912F1C40C}"/>
    <cellStyle name="Integer" xfId="420" xr:uid="{24ED0B01-F989-4574-A072-B227FF1512B3}"/>
    <cellStyle name="Item" xfId="421" xr:uid="{149B2AC4-23E2-492A-8A2D-681F732FBF12}"/>
    <cellStyle name="Item Descriptions" xfId="422" xr:uid="{A541C1D6-F40D-4E3E-95CF-BD2BD6C33853}"/>
    <cellStyle name="Item Descriptions - Bold" xfId="423" xr:uid="{4F05DE10-E4E9-42E4-9747-25EBCECDEFC7}"/>
    <cellStyle name="Item Descriptions_6079BX" xfId="424" xr:uid="{9A5BBBB4-873F-4DC8-B97D-12B6CD36B8E6}"/>
    <cellStyle name="Item_US Asset Managers updated 06 30 2008_v01" xfId="425" xr:uid="{9E2721C8-8423-4E95-A3B9-C708A913E75A}"/>
    <cellStyle name="ItemTypeClass" xfId="426" xr:uid="{1A250417-CCE6-4B09-9565-EC31DBF6A14E}"/>
    <cellStyle name="joy" xfId="427" xr:uid="{1700F364-19A1-4D7B-9280-E07F77129E44}"/>
    <cellStyle name="Large Page Heading" xfId="428" xr:uid="{283A4665-5705-43FC-96E3-ED6CE4535A6E}"/>
    <cellStyle name="LeftSubtitle" xfId="429" xr:uid="{629058A0-B45A-486F-840E-262BE185EE94}"/>
    <cellStyle name="LineItem" xfId="430" xr:uid="{6BE1DE8F-3D7A-44D9-9653-56D27371D47B}"/>
    <cellStyle name="List Name - IBM Cognos" xfId="43" xr:uid="{18E72906-6E0B-4553-B6F9-2B2C8256DE35}"/>
    <cellStyle name="Locked - IBM Cognos" xfId="44" xr:uid="{FF0A05DF-0695-43B1-A527-14ED97C85DB2}"/>
    <cellStyle name="macroname" xfId="431" xr:uid="{47DE3952-F7DE-4166-AEAB-105E089CEA9E}"/>
    <cellStyle name="magrins" xfId="432" xr:uid="{33CC2928-4692-4931-B3E9-A02C6E738D3B}"/>
    <cellStyle name="margin" xfId="433" xr:uid="{C46BA4CC-D90D-41CF-8417-B7049E596426}"/>
    <cellStyle name="Margins" xfId="434" xr:uid="{64FC91DC-3355-4B5E-B0DA-DD72BA6C393A}"/>
    <cellStyle name="Measure - IBM Cognos" xfId="45" xr:uid="{822EA485-8652-4DE6-96E2-5008DD1E7737}"/>
    <cellStyle name="Measure Header - IBM Cognos" xfId="46" xr:uid="{92051375-C082-4525-AD35-8B91426BAC06}"/>
    <cellStyle name="Measure Name - IBM Cognos" xfId="47" xr:uid="{52F51095-DC45-4F9C-88C7-E17604C8DCD9}"/>
    <cellStyle name="Measure Summary - IBM Cognos" xfId="48" xr:uid="{D759C110-CA47-4686-B0AE-3A6948253F53}"/>
    <cellStyle name="Measure Summary TM1 - IBM Cognos" xfId="49" xr:uid="{4EBF3E7B-87FC-4BDA-9044-8FD710C5DCF0}"/>
    <cellStyle name="Measure Template - IBM Cognos" xfId="50" xr:uid="{9DEC3AB3-B7D4-4F16-9B00-923B9AE5A12E}"/>
    <cellStyle name="mil" xfId="435" xr:uid="{8BE0A91E-986C-4BC9-B8DF-765435B8E76F}"/>
    <cellStyle name="Millares [0]_10 AVERIAS MASIVAS + ANT" xfId="436" xr:uid="{82820883-4C5C-4D99-9B7C-F11D345BC1F2}"/>
    <cellStyle name="Millares_10 AVERIAS MASIVAS + ANT" xfId="437" xr:uid="{51E0AA33-D306-402A-B339-1644D3B11471}"/>
    <cellStyle name="Milliers [0]_!!!GO" xfId="438" xr:uid="{2D451E47-B83F-4FA4-B70F-EF5A67ADD29E}"/>
    <cellStyle name="Milliers_!!!GO" xfId="439" xr:uid="{313BB6BC-B425-4E5B-8F9F-A02D1FD10A1F}"/>
    <cellStyle name="model" xfId="440" xr:uid="{D7648729-D26C-4017-951A-AE727D3BE68D}"/>
    <cellStyle name="Moeda [0]_Bow_Acq" xfId="441" xr:uid="{6302FCD0-93BC-46F4-BE59-72755CBBCC94}"/>
    <cellStyle name="Moeda_Bow_Acq" xfId="442" xr:uid="{B1399CB4-761C-4EC1-8157-8A83F4F59E2C}"/>
    <cellStyle name="Moneda [0]_E069Support" xfId="443" xr:uid="{F7A46E4D-6194-4387-896A-1D772AE88D4D}"/>
    <cellStyle name="Moneda_E069Support" xfId="444" xr:uid="{9AAF696C-BBE7-4F73-AAE5-B283451B015C}"/>
    <cellStyle name="Monétaire [0]_!!!GO" xfId="445" xr:uid="{C956B5AB-6CFA-4A04-BD0F-86BB14DEB156}"/>
    <cellStyle name="Monétaire_!!!GO" xfId="446" xr:uid="{C767923D-E375-4A59-BCA1-76F99997124B}"/>
    <cellStyle name="Mon騁aire [0]_!!!GO" xfId="447" xr:uid="{6666EE9F-7B22-4FED-82EA-AA50FC47F593}"/>
    <cellStyle name="Mon騁aire_!!!GO" xfId="448" xr:uid="{A488BDFF-8348-4AB7-8EC9-F37A629C45F4}"/>
    <cellStyle name="More - IBM Cognos" xfId="51" xr:uid="{5628A4B8-2106-477D-A9E2-470FE2362694}"/>
    <cellStyle name="multipel" xfId="449" xr:uid="{38FC9B67-D4C0-4EC4-827D-8E7A9879ED15}"/>
    <cellStyle name="Multiple" xfId="450" xr:uid="{92694260-C26F-49AA-B1DD-2DB19941C13A}"/>
    <cellStyle name="Multiple [0]" xfId="451" xr:uid="{9A7D15AB-380D-4AF3-9CE1-0A4006379E85}"/>
    <cellStyle name="Multiple [1]" xfId="452" xr:uid="{2D55D76F-AE84-4752-9B1A-A15B7DE814F9}"/>
    <cellStyle name="Multiple Without" xfId="453" xr:uid="{624CACC7-8CC5-41DC-A874-821803296559}"/>
    <cellStyle name="Multiple_% Change" xfId="454" xr:uid="{2B1F3FB1-5B90-4D33-AD51-556A36087EBC}"/>
    <cellStyle name="Multiple1" xfId="455" xr:uid="{CC9BB863-0C7D-4779-B9DC-B223D86AB91A}"/>
    <cellStyle name="MultipleBelow" xfId="456" xr:uid="{17AA9AF0-9A48-4A7F-85C7-BB9A043521E8}"/>
    <cellStyle name="multiples" xfId="457" xr:uid="{260F4CD1-7FD5-441C-B1F5-CFECA4BF3FFA}"/>
    <cellStyle name="multipoles" xfId="458" xr:uid="{A8635BD6-5510-49AA-B996-8208BFD1487D}"/>
    <cellStyle name="mutiple" xfId="459" xr:uid="{D9D93A59-ABF6-4481-8725-8D2C4DF95835}"/>
    <cellStyle name="New Times Roman" xfId="460" xr:uid="{6BD002E3-E714-4FAF-B35A-75572D2472C9}"/>
    <cellStyle name="No Border" xfId="461" xr:uid="{8F30C97C-4090-47F0-830F-D0A4D445FA4C}"/>
    <cellStyle name="No Commas" xfId="462" xr:uid="{E12F883B-579D-4B64-BE8D-7CEA1785AEE2}"/>
    <cellStyle name="no dec" xfId="463" xr:uid="{C49972F2-5717-4DE6-9D2A-E03A5D930A1C}"/>
    <cellStyle name="Noríal_silicon_object_tcsi" xfId="464" xr:uid="{F4ED91D6-5FB4-4EDE-BA11-2CE25B018F5D}"/>
    <cellStyle name="norma" xfId="465" xr:uid="{3D1853D9-87B6-4FFD-91B4-5DC766EAB3A5}"/>
    <cellStyle name="Normal" xfId="0" builtinId="0" customBuiltin="1"/>
    <cellStyle name="Normal - Style1" xfId="466" xr:uid="{36D6ACA2-3081-429B-B9E7-159A8AF80532}"/>
    <cellStyle name="Normal 0" xfId="467" xr:uid="{CBD763BF-F8CE-4B21-8BE0-3FD60834EA83}"/>
    <cellStyle name="Normal 10" xfId="94" xr:uid="{64C1A799-8494-4DC3-9D58-E80BC69E73D1}"/>
    <cellStyle name="Normal 11" xfId="96" xr:uid="{2EEA762D-8F99-4B11-91E2-1C314B33746E}"/>
    <cellStyle name="Normal 12" xfId="65" xr:uid="{C75EE00A-4D65-4D65-BB45-5BEE22E6CDE8}"/>
    <cellStyle name="Normal 13" xfId="110" xr:uid="{8B7222AC-EC4F-4994-B758-39BAE4BDFED5}"/>
    <cellStyle name="Normal 13 2" xfId="114" xr:uid="{0912904C-98AD-4E67-B8EF-4B1BAF812F47}"/>
    <cellStyle name="Normal 13 3" xfId="61" xr:uid="{A13EB04F-AE60-420B-B703-DC6F20AC7BC8}"/>
    <cellStyle name="Normal 14" xfId="115" xr:uid="{92BABEA2-F8DB-4FD1-9270-E27DB60C5380}"/>
    <cellStyle name="Normal 15" xfId="60" xr:uid="{DC9AA8C8-0F6A-4CD6-A97B-C30EA39C9C18}"/>
    <cellStyle name="Normal 15 2" xfId="112" xr:uid="{F5E7E543-52A1-4E77-9C6D-2308A8001897}"/>
    <cellStyle name="Normal 15 3" xfId="66" xr:uid="{7AA6D54C-2FE1-4220-B71F-C9A571ED5DDF}"/>
    <cellStyle name="Normal 16" xfId="74" xr:uid="{7B6B650F-D597-4C0F-BE49-D2DCF25FE7EB}"/>
    <cellStyle name="Normal 2" xfId="77" xr:uid="{39FE1B14-1F54-498A-9AC4-67CFDC83B856}"/>
    <cellStyle name="Normal 2 2" xfId="84" xr:uid="{3D540E84-3EE6-42B6-AE61-8021677E5C13}"/>
    <cellStyle name="Normal 2 2 2" xfId="67" xr:uid="{FC25D49B-9967-4CCA-A27A-248235A024B1}"/>
    <cellStyle name="Normal 2 2 3" xfId="121" xr:uid="{29BD77D5-2B0F-4393-9868-0B09FEAC9242}"/>
    <cellStyle name="Normal 2 3" xfId="70" xr:uid="{579DD290-1A95-497A-9EC7-05E84D890D42}"/>
    <cellStyle name="Normal 2 3 2" xfId="98" xr:uid="{6104AD94-E707-443D-8ECB-E813EC0BB81D}"/>
    <cellStyle name="Normal 2 4" xfId="118" xr:uid="{CA961120-BEC0-4EE7-A76D-C6CFBE31E578}"/>
    <cellStyle name="Normal 2_for Q and A" xfId="107" xr:uid="{6C664B63-5356-46F8-8360-846F6FEC6158}"/>
    <cellStyle name="Normal 3" xfId="73" xr:uid="{791A9B9D-5053-4B41-B6B6-D3ABF0BA03C8}"/>
    <cellStyle name="Normal 3 2" xfId="85" xr:uid="{8D7D4D74-E628-4FB0-8CC3-DBD4903D7C59}"/>
    <cellStyle name="Normal 3 3" xfId="104" xr:uid="{A3DC21FE-C85F-486C-A274-D2BBCAB2310D}"/>
    <cellStyle name="Normal 3 4" xfId="78" xr:uid="{1C17089F-2A49-4A92-8252-1DDFDDC74C84}"/>
    <cellStyle name="Normal 3 5" xfId="123" xr:uid="{17FE4788-DB66-4AAC-B395-3064EBD9A2DD}"/>
    <cellStyle name="Normal 3_for Q and A" xfId="81" xr:uid="{35AE1AD7-87BF-447F-92B0-8029170BCE34}"/>
    <cellStyle name="Normal 4" xfId="86" xr:uid="{9BAF6B5D-374F-450C-827D-39E732FBFBA9}"/>
    <cellStyle name="Normal 4 2" xfId="97" xr:uid="{36EBC9BC-34C4-4FD0-AD68-8AFF20AF8AB1}"/>
    <cellStyle name="Normal 4_Inv 2" xfId="105" xr:uid="{88EDAEB6-C547-4CE8-8BDF-0FFD073225E8}"/>
    <cellStyle name="Normal 5" xfId="89" xr:uid="{87C2919E-69CA-41A4-A8B6-CDD5D1180547}"/>
    <cellStyle name="Normal 5 2" xfId="103" xr:uid="{1C7FE857-767D-4A74-B23B-E66AEB34A0A2}"/>
    <cellStyle name="Normal 5 3" xfId="720" xr:uid="{BD036C52-D07E-46F3-A72A-C10455B2060C}"/>
    <cellStyle name="Normal 5_Inv 2" xfId="106" xr:uid="{8A4A9F8A-16C7-4C71-B2E8-1C87A6B26156}"/>
    <cellStyle name="Normal 6" xfId="90" xr:uid="{E9B43566-B328-4502-9F1A-E71675AB0032}"/>
    <cellStyle name="Normal 7" xfId="91" xr:uid="{5EB774E8-0D38-4D92-8FDD-A04725B1E9D6}"/>
    <cellStyle name="Normal 8" xfId="92" xr:uid="{42C0F23F-DA1A-4373-B08B-795570573540}"/>
    <cellStyle name="Normal 9" xfId="93" xr:uid="{0F5B298A-337C-46B2-A3FF-800C393C57F5}"/>
    <cellStyle name="Normal 9 2" xfId="111" xr:uid="{11DD8B21-E258-47F3-8DA4-1052837D389D}"/>
    <cellStyle name="Normal 9 3" xfId="113" xr:uid="{CBBFC586-5266-4E13-BA10-77938535ABD2}"/>
    <cellStyle name="Normal_Inv 1" xfId="62" xr:uid="{4CDB5E6B-3101-4E1F-B455-124AA50F11AB}"/>
    <cellStyle name="Normal0" xfId="468" xr:uid="{FFA98F69-9048-4B24-8CA0-69C199CF7385}"/>
    <cellStyle name="Normal1" xfId="469" xr:uid="{93D52D28-E69F-44A7-BEC3-E6430F0C9524}"/>
    <cellStyle name="Normal2" xfId="470" xr:uid="{0F9B160F-C488-4F7C-9A4D-257B0E169ACC}"/>
    <cellStyle name="NormalCurrency" xfId="471" xr:uid="{0A90F6F0-D0D5-42F9-B43C-072AAC31963A}"/>
    <cellStyle name="NormalGB" xfId="472" xr:uid="{35973E35-74D6-4555-8D27-08CA03581466}"/>
    <cellStyle name="NormalHelv" xfId="473" xr:uid="{80ADFE56-0DF9-4B8B-882C-37DFF583D94B}"/>
    <cellStyle name="Number" xfId="2" xr:uid="{DCEA1D27-03E0-4DCC-8BE1-C94607928FE6}"/>
    <cellStyle name="Number [0]" xfId="474" xr:uid="{CFFAD733-3EF8-4835-BF3A-B1A32BF784BF}"/>
    <cellStyle name="Number_Dynamic Linest_v51 1Q'09 WIP for Pro forma (2)" xfId="475" xr:uid="{95631E67-2999-4E84-8F78-BBABEB82335A}"/>
    <cellStyle name="Numbers" xfId="476" xr:uid="{475870FE-FB65-40A1-B857-4FDEB349298A}"/>
    <cellStyle name="Numbers - Bold" xfId="477" xr:uid="{6220A3F6-40FF-41FB-BC2A-E1D7B8B4DB04}"/>
    <cellStyle name="Numbers_6079BX" xfId="478" xr:uid="{614C9C73-9BEF-41A2-8A11-EE2ED5DAA721}"/>
    <cellStyle name="Œ…‹æØ‚è [0.00]_laroux" xfId="479" xr:uid="{FAD44663-4018-46CA-BC74-9958D5251098}"/>
    <cellStyle name="Œ…‹æØ‚è_laroux" xfId="480" xr:uid="{9C724F9D-D9E1-443D-AEFB-84BF7BEFAD87}"/>
    <cellStyle name="onedec" xfId="481" xr:uid="{26EB7FFC-B757-4D6E-BCB0-8F410336ECA5}"/>
    <cellStyle name="OSW_ColumnLabels" xfId="482" xr:uid="{9560B195-F770-4AC3-9AA3-9AD11A709AF2}"/>
    <cellStyle name="Output Amounts" xfId="483" xr:uid="{A8B782F7-8C85-4ED9-B4E1-536F6CE6C7B0}"/>
    <cellStyle name="Output Column Headings" xfId="484" xr:uid="{51AED414-C70F-4EE9-A4AC-700B59113D87}"/>
    <cellStyle name="Output Line Items" xfId="485" xr:uid="{2F4A6FF0-A3BC-4440-B30D-ABE56B713763}"/>
    <cellStyle name="Output Report Heading" xfId="486" xr:uid="{0D1109C9-F3CF-40AE-B7E4-08F137043B08}"/>
    <cellStyle name="Output Report Title" xfId="487" xr:uid="{C403D572-AB16-48E2-AEA3-E38513C65DCC}"/>
    <cellStyle name="OVER" xfId="488" xr:uid="{433CFC59-1456-45D7-B833-F20B5D380889}"/>
    <cellStyle name="P" xfId="489" xr:uid="{DDFB37FC-C125-435B-BDC9-8F2FF86B6B55}"/>
    <cellStyle name="P&amp;L Numbers" xfId="490" xr:uid="{C833CFEE-E15A-4312-8A32-203E774A781C}"/>
    <cellStyle name="P_AFMAI Model" xfId="491" xr:uid="{56D464CF-4F76-47DD-AA17-0B5B6EED7B6C}"/>
    <cellStyle name="P_AFMAI Model_Smart_Balance_Analysis_v145" xfId="492" xr:uid="{1FF8481A-8934-4230-A320-F6EC1D07067B}"/>
    <cellStyle name="P_hardball_model10" xfId="493" xr:uid="{7A4A0D7E-149E-4BDB-99C6-9343387C0DFE}"/>
    <cellStyle name="P_hardball_model10_Smart_Balance_Analysis_v145" xfId="494" xr:uid="{D49698C7-C9BA-477C-8E89-1C11C689F3D0}"/>
    <cellStyle name="P_MEtro_comp2" xfId="495" xr:uid="{9A5DB087-3AA7-43F8-8D29-89F5D94C1AEB}"/>
    <cellStyle name="P_MEtro_comp2_overview3a" xfId="496" xr:uid="{B877D9C0-9336-4FB8-BFF3-EDD38EB1CFF1}"/>
    <cellStyle name="P_OVERVI~1a" xfId="497" xr:uid="{292B2357-B9D3-455A-A9F7-76E7F1F612E5}"/>
    <cellStyle name="P_overview3a" xfId="498" xr:uid="{3569691F-40FF-4241-8CB3-B5DF11714C2E}"/>
    <cellStyle name="P_projections model from grand union.xls Chart 1" xfId="499" xr:uid="{A0A1137B-54BB-4290-AED6-BF266CD3DB32}"/>
    <cellStyle name="P_projections model from grand union.xls Chart 1_Smart_Balance_Analysis_v145" xfId="500" xr:uid="{8703E7C5-0F3B-49DB-9D65-2DF6015B4762}"/>
    <cellStyle name="P_valuation model #1" xfId="501" xr:uid="{4CEBB9DD-AAF6-4105-8A80-3C35FEA4048D}"/>
    <cellStyle name="P_valuation model #1_Smart_Balance_Analysis_v145" xfId="502" xr:uid="{FF0EDD9B-F60F-4AD5-AD58-5670E4976503}"/>
    <cellStyle name="Page Heading" xfId="503" xr:uid="{C68C9029-163C-4F7C-A735-66C8A6B84735}"/>
    <cellStyle name="Page Heading Large" xfId="504" xr:uid="{AA4E270B-ECA3-40DA-9FA8-3FCBCA57FF03}"/>
    <cellStyle name="Page Heading Small" xfId="505" xr:uid="{535B6686-33EE-4F84-9CE0-F80D9C1E2DD4}"/>
    <cellStyle name="Page Number" xfId="506" xr:uid="{D1A34BD7-768D-4FF7-B2E7-3957EEF3F3A1}"/>
    <cellStyle name="Page Title" xfId="507" xr:uid="{28B67C68-6EC3-4A66-B01D-0288C9C4188E}"/>
    <cellStyle name="PageSubTitle" xfId="508" xr:uid="{0EAFDED5-CF63-4C19-8B87-E01F91D85377}"/>
    <cellStyle name="PageTitle" xfId="509" xr:uid="{FCA1928F-0F7E-4A79-9B63-9DCDA60535E4}"/>
    <cellStyle name="PE/LTGR" xfId="510" xr:uid="{854BF209-97E4-4E39-8B66-B7F2EC57C346}"/>
    <cellStyle name="Pending Change - IBM Cognos" xfId="52" xr:uid="{DF8B1BC7-72D6-4C8F-A73F-41BA8B37D058}"/>
    <cellStyle name="Penetration" xfId="511" xr:uid="{40290928-B217-4F9A-9E05-437267F4CD15}"/>
    <cellStyle name="per.style" xfId="512" xr:uid="{7342121C-384F-49AD-9BC4-CC405D4B65B9}"/>
    <cellStyle name="Percent" xfId="4" builtinId="5"/>
    <cellStyle name="Percent [0]" xfId="513" xr:uid="{5C232CCA-C2CE-4A8D-8737-FB132D9561BB}"/>
    <cellStyle name="Percent [0] Total" xfId="514" xr:uid="{19CB26A7-09F5-4616-8FA5-1946710FE8B6}"/>
    <cellStyle name="Percent [0]_AM IPO Sept 03 v5" xfId="515" xr:uid="{4A5DB11B-B226-4280-961A-29C1942C9A75}"/>
    <cellStyle name="Percent [1]" xfId="516" xr:uid="{26583F33-E369-4A65-9119-6F65228FFE60}"/>
    <cellStyle name="Percent [1] Total" xfId="517" xr:uid="{47DFA122-7E28-42FC-8278-1DADE567737C}"/>
    <cellStyle name="Percent [1]_AM IPO Sept 03 v5" xfId="518" xr:uid="{0881BDF2-E76F-41E1-92C7-68512BECE508}"/>
    <cellStyle name="Percent [2]" xfId="519" xr:uid="{0E11DD24-43EB-40B1-A658-644FDB2E6A95}"/>
    <cellStyle name="Percent [2] Total" xfId="520" xr:uid="{128E1022-2AE5-4DE3-8865-FE315C290A02}"/>
    <cellStyle name="Percent [2]_AM IPO Sept 03 v5" xfId="521" xr:uid="{7274C390-615C-4DE8-BDED-F96A574BBA60}"/>
    <cellStyle name="Percent [3]" xfId="522" xr:uid="{22D790FF-FF4B-4E77-A7EC-1DC16FA125B0}"/>
    <cellStyle name="Percent 10" xfId="738" xr:uid="{5E28328B-C7F0-46CB-A392-4659404065DD}"/>
    <cellStyle name="Percent 11" xfId="708" xr:uid="{18866B70-E10D-47C1-AF8F-9403D600B5A3}"/>
    <cellStyle name="Percent 12" xfId="734" xr:uid="{2B3C165B-472F-41FB-A9C5-439914CD56E3}"/>
    <cellStyle name="Percent 13" xfId="726" xr:uid="{25E5423E-64CE-4B54-9FE7-EFFFE0745F1C}"/>
    <cellStyle name="Percent 14" xfId="740" xr:uid="{196B7BF0-B443-4227-AB4C-F3A2B97F14CA}"/>
    <cellStyle name="Percent 15" xfId="710" xr:uid="{B16AFB0A-7055-416C-9FB6-5FD874359DF0}"/>
    <cellStyle name="Percent 16" xfId="731" xr:uid="{0D889223-091D-4A70-9245-5A2C03085FF2}"/>
    <cellStyle name="Percent 17" xfId="724" xr:uid="{DB3DDA9C-8706-4370-AAC5-FA9DF3395B83}"/>
    <cellStyle name="Percent 2" xfId="79" xr:uid="{72242175-626D-4361-B8BC-309E83E7C4AF}"/>
    <cellStyle name="Percent 2 2" xfId="101" xr:uid="{719F25C2-FB1E-469C-8F1E-D8CED65BACFB}"/>
    <cellStyle name="Percent 2 3" xfId="119" xr:uid="{2EBACB0E-400E-4C82-9ED2-9DCE4C34D208}"/>
    <cellStyle name="Percent 3" xfId="80" xr:uid="{1A87A7ED-B046-4F39-BDC5-D3B574A9EBD2}"/>
    <cellStyle name="Percent 3 2" xfId="64" xr:uid="{B47569C1-F895-4962-AB9E-F2529CC1D70B}"/>
    <cellStyle name="Percent 3 3" xfId="125" xr:uid="{6E4A2B48-9195-4959-950D-5C10A9E65D1F}"/>
    <cellStyle name="Percent 4" xfId="88" xr:uid="{3B690A0F-90F9-4A4C-A6D2-67E7E8BBCBC1}"/>
    <cellStyle name="Percent 4 2" xfId="99" xr:uid="{AE01EED2-2E2E-4923-8013-30B1C021359E}"/>
    <cellStyle name="Percent 5" xfId="714" xr:uid="{A4781CDC-943D-401E-926F-45F6599E362D}"/>
    <cellStyle name="Percent 6" xfId="717" xr:uid="{0F4FAC8F-68F2-43E2-963D-01BB110B9E1E}"/>
    <cellStyle name="Percent 7" xfId="722" xr:uid="{EBB80CB6-3153-4D86-BFB2-84538D9E99DB}"/>
    <cellStyle name="Percent 8" xfId="117" xr:uid="{75123594-EF6B-4C25-A050-4E1ECD229B68}"/>
    <cellStyle name="Percent 9" xfId="712" xr:uid="{38410E1D-FF20-4E58-947D-5C32D4A26F5F}"/>
    <cellStyle name="Percent Comma" xfId="523" xr:uid="{BFBAEABE-4859-43D9-BA44-6C26648F4A57}"/>
    <cellStyle name="percent har" xfId="524" xr:uid="{AF32A170-0A74-4F86-AE79-FF59725FCE83}"/>
    <cellStyle name="Percent Hard" xfId="525" xr:uid="{367DCD59-75E4-4803-8E15-E2087467DF82}"/>
    <cellStyle name="Percent Input_aavidmod11.xls Chart 1" xfId="526" xr:uid="{2E72D835-E282-429D-BC1B-9784DA039E96}"/>
    <cellStyle name="Percent*" xfId="527" xr:uid="{2E3EA1A3-3FC1-434F-8CA4-E6E9CD3C9AA5}"/>
    <cellStyle name="Percent0" xfId="528" xr:uid="{7F028CFA-5D37-47F7-9DBB-8E8CFB99A757}"/>
    <cellStyle name="Percent00" xfId="529" xr:uid="{5B1EDEF1-3D29-4942-A944-B9AAF5FD987C}"/>
    <cellStyle name="Percent1" xfId="530" xr:uid="{7219C79B-1A57-4B06-B9B3-11FCD84CA3DC}"/>
    <cellStyle name="percentage" xfId="531" xr:uid="{C94B17E5-7511-4238-8604-F9756F3281E6}"/>
    <cellStyle name="PercentChange" xfId="532" xr:uid="{4FE43A9D-D0F4-4126-A34F-F8C977B0ED8A}"/>
    <cellStyle name="PercentPresentation" xfId="533" xr:uid="{4EF275FA-AB7B-483F-A6C9-8408B58FB86B}"/>
    <cellStyle name="perecent" xfId="534" xr:uid="{CCC04CD6-E358-4A28-9ACF-53E0E9512A06}"/>
    <cellStyle name="PerShare" xfId="535" xr:uid="{6A7EBF86-3832-463D-BB96-3AAD4679252B}"/>
    <cellStyle name="POPS" xfId="536" xr:uid="{548F2002-20CB-48B7-A2C5-8319564F3F52}"/>
    <cellStyle name="Pounds Total 2" xfId="537" xr:uid="{7CF366CD-4E52-4FE7-8FA2-BB17FE1598FD}"/>
    <cellStyle name="Presentation" xfId="538" xr:uid="{27E159C8-6CC9-4B7B-AEC9-1EA1C39B2F21}"/>
    <cellStyle name="PresentationMargins" xfId="539" xr:uid="{2ED4B7C3-982D-48DE-9EEE-EDE81904DD7B}"/>
    <cellStyle name="PresentationTitle" xfId="540" xr:uid="{6A148DE2-290A-4F32-A9BE-F5BDF2165C3D}"/>
    <cellStyle name="PresentationZero" xfId="541" xr:uid="{BAB51AAB-9935-4708-AC97-FF569698F9E3}"/>
    <cellStyle name="Price" xfId="542" xr:uid="{275E6956-F2BE-49C9-B0FD-C1EC2A97DC19}"/>
    <cellStyle name="PriceDecimal" xfId="543" xr:uid="{25715DF9-9540-431E-B8F0-5652F44761EB}"/>
    <cellStyle name="pricing" xfId="544" xr:uid="{0433FA9C-8871-421B-96E4-531D85AA8D14}"/>
    <cellStyle name="Private" xfId="545" xr:uid="{3B9C4E7E-74FE-4346-9650-FC8DE04384C9}"/>
    <cellStyle name="Private1" xfId="546" xr:uid="{11358DFE-A9D4-4EC7-AB9C-FC3713E861CC}"/>
    <cellStyle name="PROJECT" xfId="547" xr:uid="{67E27B39-341E-40A7-A9ED-F8B4E42B0029}"/>
    <cellStyle name="PROJECT R" xfId="548" xr:uid="{24C3447E-AD79-471B-B503-81B2A7C2B875}"/>
    <cellStyle name="PSChar" xfId="549" xr:uid="{7F4FAB94-DDC3-414A-90DA-BC50B81C2D0C}"/>
    <cellStyle name="PSDate" xfId="550" xr:uid="{ACBEF244-6904-440D-A1F2-1E9462B587CC}"/>
    <cellStyle name="PSDec" xfId="551" xr:uid="{DA67ACDF-EFDA-4AE1-8731-406AC90CA211}"/>
    <cellStyle name="PSHeading" xfId="552" xr:uid="{5DB9274E-20BC-4B2F-820D-CF360EDAEA5B}"/>
    <cellStyle name="PSInt" xfId="553" xr:uid="{FBAA67D4-D2BB-4BAC-B25F-7C50859FA498}"/>
    <cellStyle name="PSSpacer" xfId="554" xr:uid="{803288AA-3EC4-4772-972F-8268431B3F34}"/>
    <cellStyle name="QvB" xfId="555" xr:uid="{B4EB3E30-0A18-453A-98E6-30624C3E3F95}"/>
    <cellStyle name="Ratio" xfId="556" xr:uid="{35ABAEE9-A002-45D1-89B1-3F573D0096C6}"/>
    <cellStyle name="Ratio Comma" xfId="557" xr:uid="{032AB6B9-0008-4DB3-B0C6-6B239B979E2C}"/>
    <cellStyle name="Ratio_bigtexmodel14" xfId="558" xr:uid="{4230CD7D-D902-49E5-A969-478998650944}"/>
    <cellStyle name="RatioX" xfId="559" xr:uid="{C3F76D06-49C2-465C-9F2E-8013ED7B9F06}"/>
    <cellStyle name="Reference" xfId="560" xr:uid="{4E034E5E-4AB7-45A9-A462-8ED3765910BD}"/>
    <cellStyle name="regstoresfromspecstores" xfId="561" xr:uid="{69994BFA-DC96-4CDF-89E2-F79DC7599D7A}"/>
    <cellStyle name="Report" xfId="562" xr:uid="{4932F44E-C6AB-45C7-9182-C86E221ED2D5}"/>
    <cellStyle name="Results % 3 dp" xfId="563" xr:uid="{26029F23-07C2-4B47-B5ED-EAD5D7909925}"/>
    <cellStyle name="Results 3 dp" xfId="564" xr:uid="{64BAEDBB-8A9E-4BDF-AB40-35C3471897B0}"/>
    <cellStyle name="RevList" xfId="565" xr:uid="{ACFDF34F-4589-4FDA-9A0C-26AF93C28738}"/>
    <cellStyle name="RightTitle" xfId="566" xr:uid="{9B1BBE4C-A2B1-435A-BEDE-EA472CCE7545}"/>
    <cellStyle name="Rounding" xfId="567" xr:uid="{6D5444A9-4142-4DBF-B116-DFFD3BD0C9D8}"/>
    <cellStyle name="Row Headings" xfId="568" xr:uid="{13448466-DEDF-42AA-BA92-6440F261226A}"/>
    <cellStyle name="Row Name - IBM Cognos" xfId="53" xr:uid="{CD117983-5037-4DAC-A728-C6E942AF6A4C}"/>
    <cellStyle name="Row Template - IBM Cognos" xfId="54" xr:uid="{82608F3E-30F1-4EF9-AF47-8ED7990F0532}"/>
    <cellStyle name="Salomon Logo" xfId="569" xr:uid="{BDEB1F5D-BFCD-4A54-9FCC-23565D40F1FD}"/>
    <cellStyle name="Section" xfId="570" xr:uid="{5CE3945F-2461-4E88-BFA2-F5751D1E258E}"/>
    <cellStyle name="SectionHeading" xfId="571" xr:uid="{C82E97C3-2666-4092-975C-9025143B92B7}"/>
    <cellStyle name="shade" xfId="572" xr:uid="{95FF77A2-5022-452B-AB7A-CAADB80DD06C}"/>
    <cellStyle name="Shaded" xfId="573" xr:uid="{9B8BB872-387A-4BA5-AA6D-2A35BED17C1D}"/>
    <cellStyle name="SHADEDSTORES" xfId="574" xr:uid="{2E8D0D8A-06EF-4400-9C7C-9FB9D99CA2AD}"/>
    <cellStyle name="Shares" xfId="575" xr:uid="{C23278DC-D275-4B30-BF4F-899F94A7459D}"/>
    <cellStyle name="Single Accounting" xfId="576" xr:uid="{E5A82B13-3D10-4910-9843-F73F9B6D0A5F}"/>
    <cellStyle name="Single Border" xfId="577" xr:uid="{BBF7AEF0-B706-4E07-8CEF-2EC093D12D47}"/>
    <cellStyle name="Single Underline" xfId="578" xr:uid="{9D63097F-C749-4142-97E2-1CB484858F6B}"/>
    <cellStyle name="Small Page Heading" xfId="579" xr:uid="{91D7780B-9083-4451-95BD-82DD6914DE5D}"/>
    <cellStyle name="specstores" xfId="580" xr:uid="{05A4F344-2421-4981-8632-91634164F7A3}"/>
    <cellStyle name="Standaard_balance" xfId="581" xr:uid="{87DA83DD-9264-4DB5-A747-E5B6F66F87DF}"/>
    <cellStyle name="STANDARD" xfId="582" xr:uid="{1CBAB838-B202-4AB7-A979-8DC12439FD3A}"/>
    <cellStyle name="Stock Comma" xfId="583" xr:uid="{E7CC5E2F-1613-47CE-814E-C068CC4AA9FE}"/>
    <cellStyle name="Stock Price" xfId="584" xr:uid="{8CA2FD2C-49B2-485E-8342-4316BF3C0240}"/>
    <cellStyle name="StockPrice" xfId="585" xr:uid="{76B28C1F-0336-4ADE-98C3-8FD84DFB4D2B}"/>
    <cellStyle name="Style 1" xfId="586" xr:uid="{6787ADCF-608C-467C-B9EA-7B2BAFDF5045}"/>
    <cellStyle name="SubDollar" xfId="587" xr:uid="{FFE7ED3E-C951-4A0F-BAB3-08C2BCF1527A}"/>
    <cellStyle name="SubGrowth" xfId="588" xr:uid="{B22E10C4-6413-4383-AA0D-E563154928D7}"/>
    <cellStyle name="SubGrowthRate" xfId="589" xr:uid="{BDB8EDF9-68A3-4FB7-BA04-7D1A8808B873}"/>
    <cellStyle name="SubMargins" xfId="590" xr:uid="{53474397-B621-492B-BA63-EA1EEB6A553A}"/>
    <cellStyle name="SubPenetration" xfId="591" xr:uid="{EA5E67DF-322B-4105-9C9E-9D38DCCDC7A1}"/>
    <cellStyle name="Subscribers" xfId="592" xr:uid="{B250D926-EDAB-4E18-83B7-98FAC47BB6F8}"/>
    <cellStyle name="Subtitle" xfId="593" xr:uid="{CFA5E3E2-B990-4C48-9C4C-DFAB79775F85}"/>
    <cellStyle name="Subtotal" xfId="594" xr:uid="{CB94D48B-ADAE-4B63-8CF4-65316BF898E0}"/>
    <cellStyle name="SubVariable" xfId="595" xr:uid="{147894D8-AE86-482A-8F2C-05FF9770CCA9}"/>
    <cellStyle name="Summary" xfId="596" xr:uid="{D2B854B9-C5BD-4884-8320-F5D75AB9621A}"/>
    <cellStyle name="Summary Column Name - IBM Cognos" xfId="55" xr:uid="{3947310D-8475-4576-AA21-34A1E1B7C977}"/>
    <cellStyle name="Summary Column Name TM1 - IBM Cognos" xfId="56" xr:uid="{6A7FF61C-A350-442C-B985-4EEE0F84AD0F}"/>
    <cellStyle name="Summary Row Name - IBM Cognos" xfId="57" xr:uid="{71B3D0CE-65E9-4BFA-9BDF-5C601A9A335D}"/>
    <cellStyle name="Summary Row Name TM1 - IBM Cognos" xfId="58" xr:uid="{7488D709-6E76-454D-8AB2-9E029D8B76CD}"/>
    <cellStyle name="t" xfId="597" xr:uid="{B8091695-D598-4A6A-BC14-795A5F443985}"/>
    <cellStyle name="t_FEG Model_v194" xfId="598" xr:uid="{C18CF546-478F-4178-9BD7-5E891C44C236}"/>
    <cellStyle name="t_PBG Euro Model_v14" xfId="599" xr:uid="{D51EF0F3-3FD1-4AE0-9C4C-F33F73A38DF5}"/>
    <cellStyle name="Table Col Head" xfId="600" xr:uid="{E553D530-B881-4E61-B7C5-4BD28E7CE98D}"/>
    <cellStyle name="table column heading" xfId="601" xr:uid="{75518A3F-A188-4A50-B604-77E328143652}"/>
    <cellStyle name="Table Footnotes" xfId="602" xr:uid="{691D2890-DF1B-4407-9D9E-4785A12F6F86}"/>
    <cellStyle name="Table Head" xfId="603" xr:uid="{90BE0892-ABA1-45E7-B2E4-C98837859967}"/>
    <cellStyle name="Table Head Aligned" xfId="604" xr:uid="{BE1FF048-E678-4453-B0E8-7A1E10FCE37B}"/>
    <cellStyle name="Table Head Blue" xfId="605" xr:uid="{9CD1A528-C6C2-4678-9D20-B5AB09BF2921}"/>
    <cellStyle name="Table Head Green" xfId="606" xr:uid="{6AE43334-D114-4CD8-9781-98FD6087CD6C}"/>
    <cellStyle name="Table Head_% Change" xfId="607" xr:uid="{0DD8831E-8709-4D6F-B604-185C11BB2E58}"/>
    <cellStyle name="Table Heading" xfId="608" xr:uid="{EFF0E3D2-EC74-40AF-9906-76A5AC6A1552}"/>
    <cellStyle name="Table Source" xfId="609" xr:uid="{04FEECF7-03E6-444B-8C38-115E99AA514D}"/>
    <cellStyle name="Table Sub Head" xfId="610" xr:uid="{2ACEB31A-2C86-4B00-92CF-2C7FE1D3C27E}"/>
    <cellStyle name="Table Sub Heading" xfId="611" xr:uid="{93235678-7AB9-4DB8-BB92-299855B33468}"/>
    <cellStyle name="Table Text" xfId="612" xr:uid="{F0A9A7E4-CC12-4235-9702-9CBD16F74558}"/>
    <cellStyle name="TABLE TITEL" xfId="613" xr:uid="{948D6922-638B-4A1E-BFA6-D7A96AF1EAEE}"/>
    <cellStyle name="Table Title" xfId="614" xr:uid="{6AC84798-167C-40C5-A4FA-01FB24E4D129}"/>
    <cellStyle name="Table Units" xfId="615" xr:uid="{40493D04-744F-4C3A-93C1-A4C330559A30}"/>
    <cellStyle name="Table_Header" xfId="616" xr:uid="{D084CF38-5B3F-4842-BBA9-583C59E8F623}"/>
    <cellStyle name="TableBase" xfId="617" xr:uid="{56615A43-5C0E-4B90-BFDF-712F67CB3ADF}"/>
    <cellStyle name="TableBody" xfId="618" xr:uid="{BB70556F-CB5C-453D-94F7-7D0E46A27536}"/>
    <cellStyle name="TableBodyR" xfId="619" xr:uid="{C6E24B0E-1F38-46ED-A384-DE26941BA684}"/>
    <cellStyle name="TableColHeads" xfId="620" xr:uid="{6CEDCE8A-D119-4ACA-83CA-B7A95C896878}"/>
    <cellStyle name="TableColumnHeading" xfId="621" xr:uid="{52BA904E-3A8B-4DE9-A0C5-560AB63AE8BE}"/>
    <cellStyle name="TableHead" xfId="622" xr:uid="{74EAC4A8-2EB7-457D-9FA9-BFE91D6C3C47}"/>
    <cellStyle name="TableSubTitleItalic" xfId="623" xr:uid="{04C5DD15-FE1A-4E56-A11B-3E63A113F3FC}"/>
    <cellStyle name="TableText" xfId="624" xr:uid="{FC547E35-1964-40D4-B4D8-FC88D2FD0CEA}"/>
    <cellStyle name="TableTitle" xfId="625" xr:uid="{AAFB0694-ADF9-4081-BAF1-DFF4E5DBB8CC}"/>
    <cellStyle name="Test" xfId="626" xr:uid="{23C503E5-CCFC-487A-95C2-9257BB97427D}"/>
    <cellStyle name="Text" xfId="627" xr:uid="{5AFB0161-B8BC-46C0-9011-59FC550E6C52}"/>
    <cellStyle name="Text [4]" xfId="628" xr:uid="{70D93CEF-4D16-49ED-8966-6127F43505CF}"/>
    <cellStyle name="Text [8]" xfId="629" xr:uid="{A1799E5B-A4FC-47E8-902A-975FFD96B930}"/>
    <cellStyle name="Text [Bullet]" xfId="630" xr:uid="{8718B922-3C5E-45B4-8E7F-19A7FDF4FC1D}"/>
    <cellStyle name="Text [Dash]" xfId="631" xr:uid="{919C989A-1B7C-4D9C-8218-DBFA9FBA8C34}"/>
    <cellStyle name="Text [Em-Dash]" xfId="632" xr:uid="{FEA0B130-4311-4FFB-9C1E-2BAF6E74A224}"/>
    <cellStyle name="Text 1" xfId="633" xr:uid="{2A091342-2F7A-4063-B6AC-63D718AC36CE}"/>
    <cellStyle name="Text 2" xfId="634" xr:uid="{39119283-D631-4561-8200-EB1C918EEB84}"/>
    <cellStyle name="Text Head" xfId="635" xr:uid="{6F12DB50-04BC-4049-ACD6-CC788D605981}"/>
    <cellStyle name="Text Head 1" xfId="636" xr:uid="{1E96448F-CDB5-4D48-84D7-F933864F2EE6}"/>
    <cellStyle name="Text Head 2" xfId="637" xr:uid="{9DD73B60-F1E7-49E1-8B2B-596E3DEE0E7A}"/>
    <cellStyle name="Text Head_20050506_WACC_Ito Yokado" xfId="638" xr:uid="{2959787B-504F-44CE-BDE9-E43B7B54D0C1}"/>
    <cellStyle name="Text Indent 1" xfId="639" xr:uid="{F203F9F4-5239-45D6-9D75-AD85C9515ED1}"/>
    <cellStyle name="Text Indent 2" xfId="640" xr:uid="{E96DA6AD-74CB-4662-9D0B-E0A3365E60AF}"/>
    <cellStyle name="Text_AM IPO Sept 03 v5" xfId="641" xr:uid="{BD5D0370-7540-4B69-8B9B-741B37B69326}"/>
    <cellStyle name="Ticker" xfId="642" xr:uid="{E29572A6-495B-467C-99B9-4F7680E7F1A0}"/>
    <cellStyle name="Time" xfId="643" xr:uid="{2AB60A69-4064-4268-B0BB-0D276037F361}"/>
    <cellStyle name="Time Strip" xfId="644" xr:uid="{C720AC85-D415-43D2-B71E-3C5F75336FC4}"/>
    <cellStyle name="Times" xfId="645" xr:uid="{944B6578-68F3-42A0-9CB9-673897F4EDA4}"/>
    <cellStyle name="Times [1]" xfId="646" xr:uid="{E0DEA71C-4280-494F-9E91-6576840A5410}"/>
    <cellStyle name="Times [1] Total" xfId="647" xr:uid="{48DC04BF-F860-437F-BC40-AF1E27FAAADD}"/>
    <cellStyle name="Times [1]_AM IPO Sept 03 v5" xfId="648" xr:uid="{ABE9E8F8-F8BE-453D-A3EA-E1062AADCBD4}"/>
    <cellStyle name="Times [2]" xfId="649" xr:uid="{9481E949-A12D-4FE0-A674-5DC1FECC71C5}"/>
    <cellStyle name="Times [2] Total" xfId="650" xr:uid="{0654CD4E-7A8E-4516-9C1D-A727FEA18035}"/>
    <cellStyle name="Times [2]_AM IPO Sept 03 v5" xfId="651" xr:uid="{1C5CCA78-7A48-4B54-A862-5D12D1E3FA4D}"/>
    <cellStyle name="Times [3]" xfId="652" xr:uid="{8552926C-0150-4088-B38A-83E7406DB24B}"/>
    <cellStyle name="Times 10" xfId="653" xr:uid="{EE238F04-A702-4A70-9A8E-44A267B69150}"/>
    <cellStyle name="Times 12" xfId="654" xr:uid="{91C3A2EF-B19F-45E4-B226-79DE7F897E4D}"/>
    <cellStyle name="Title - PROJECT" xfId="655" xr:uid="{36ADD625-78D6-4E3A-BCAC-A9B0BDA3EC27}"/>
    <cellStyle name="Title - Underline" xfId="656" xr:uid="{9799F58A-26D2-44A8-8797-987A9292BF90}"/>
    <cellStyle name="Title II" xfId="657" xr:uid="{08987110-D3CC-486E-980F-CE78ADD43B6C}"/>
    <cellStyle name="Title2" xfId="658" xr:uid="{86A85EB3-F20E-48FB-8128-5310FB50C7FF}"/>
    <cellStyle name="TitleII" xfId="659" xr:uid="{23890945-506F-41E9-BF6B-16D6707CE071}"/>
    <cellStyle name="Titles" xfId="660" xr:uid="{A37A7DA8-0A4F-4D07-8C71-A463510B8B70}"/>
    <cellStyle name="Titles - Col. Headings" xfId="661" xr:uid="{7614013A-07D6-4D61-8358-ECDA78F95CBC}"/>
    <cellStyle name="Titles - Other" xfId="662" xr:uid="{9F9FFD4C-DACE-47EB-9AC3-C297DED229BF}"/>
    <cellStyle name="TitleSub" xfId="663" xr:uid="{CE9F4A70-96CA-4DEE-B054-C44542A30CDB}"/>
    <cellStyle name="TOC 1" xfId="664" xr:uid="{787C1A59-C472-4EF5-8EDF-547C48225A1F}"/>
    <cellStyle name="TOC 2" xfId="665" xr:uid="{D121D08F-152C-4467-8783-52A47F16199D}"/>
    <cellStyle name="Top bold border" xfId="666" xr:uid="{EB5C1A88-C564-4EE9-B144-F7258C3D37C3}"/>
    <cellStyle name="Top Edge" xfId="667" xr:uid="{2F5CAEC7-E948-4A4E-A4C6-FFAA18E1E02A}"/>
    <cellStyle name="Top single border" xfId="668" xr:uid="{26C011C1-4CEC-415B-910F-6649A55377EB}"/>
    <cellStyle name="Total Currency" xfId="669" xr:uid="{FB3DCA43-8B13-4920-92FB-6FEBB6F830EB}"/>
    <cellStyle name="Total Normal" xfId="670" xr:uid="{F29400C1-BCFA-4CAF-97B0-3E53A0C23C6D}"/>
    <cellStyle name="TotalCurrency" xfId="671" xr:uid="{6AE6FA33-9D06-4E52-93C3-70F019F8FD88}"/>
    <cellStyle name="TwoDecimal" xfId="672" xr:uid="{5BB66366-3827-497B-B2FE-42603B748607}"/>
    <cellStyle name="ubordinated Debt" xfId="673" xr:uid="{C78013CB-EC6B-43BD-8B1F-59804D2B7F8D}"/>
    <cellStyle name="Underline_Double" xfId="674" xr:uid="{E739D6BB-5BC7-46E1-B640-93778F75B98D}"/>
    <cellStyle name="UnderMultiple" xfId="675" xr:uid="{E1112357-CAEF-4957-92F8-3833BBACE799}"/>
    <cellStyle name="UnitPrice" xfId="676" xr:uid="{D6FCA5C7-9813-4481-8091-73306A944942}"/>
    <cellStyle name="Units" xfId="677" xr:uid="{C41D4BAD-938F-42B2-8DCA-AC66EBACC1E7}"/>
    <cellStyle name="Unsaved Change - IBM Cognos" xfId="59" xr:uid="{21DF5E00-3FF7-4E48-A613-C8E03E6B86DA}"/>
    <cellStyle name="Upload Only" xfId="678" xr:uid="{BDB6625E-5EF5-4981-990A-9245F7910A9E}"/>
    <cellStyle name="User_Defined_A" xfId="679" xr:uid="{76B85F18-A274-4B82-9707-1B894CD7FFD8}"/>
    <cellStyle name="Validation" xfId="680" xr:uid="{BA76864B-E634-41FE-925B-5E8B414D095F}"/>
    <cellStyle name="Valuation" xfId="681" xr:uid="{7B0E665E-A4D1-46FD-87C4-A756B11C2F8E}"/>
    <cellStyle name="Valuation Bold" xfId="682" xr:uid="{41BDDC92-8179-4DDD-9453-2D25B4BFF700}"/>
    <cellStyle name="Valuta_Company Summary (2)" xfId="683" xr:uid="{313A99F7-CD3B-4452-918B-F78365911E8F}"/>
    <cellStyle name="White Table Head" xfId="684" xr:uid="{7311E047-8413-4C43-A705-8958CA59F6DB}"/>
    <cellStyle name="WhiteCells" xfId="685" xr:uid="{01708BE4-B7BB-4DE9-8F79-219B6CA7B50F}"/>
    <cellStyle name="WhitePattern" xfId="686" xr:uid="{398FE4CE-B732-4428-BEDF-FE4C74D9A5F8}"/>
    <cellStyle name="WhitePattern1" xfId="687" xr:uid="{4B306215-7A26-4BCD-8C7B-885555D0A94B}"/>
    <cellStyle name="WhiteText" xfId="688" xr:uid="{F0CEB33F-A7A7-4653-A7BD-1425C6B91CFB}"/>
    <cellStyle name="WholeNumber" xfId="689" xr:uid="{934B99E1-93DD-43AF-9455-3105F52A1AFE}"/>
    <cellStyle name="WingDing" xfId="690" xr:uid="{DC636B70-A80E-4B58-8445-C151AA35BCE0}"/>
    <cellStyle name="Wire" xfId="691" xr:uid="{50CA5980-85BC-4B22-A81B-A2C940E9B945}"/>
    <cellStyle name="WP" xfId="692" xr:uid="{D4586F71-C47B-47A1-915F-F8BC33583EE8}"/>
    <cellStyle name="WP&amp;Co." xfId="693" xr:uid="{B9F95379-5B93-405A-9F0D-E4366428DD5E}"/>
    <cellStyle name="X" xfId="694" xr:uid="{264FDF9E-D695-4D62-B61C-3DEBC2A73DDB}"/>
    <cellStyle name="X - None" xfId="695" xr:uid="{83D628F9-D0B1-4B62-B9CB-29779199ACDE}"/>
    <cellStyle name="x Men" xfId="696" xr:uid="{B214FB62-FECA-4338-8541-626473153EE3}"/>
    <cellStyle name="X_US Asset Managers updated 06 30 2008_v01" xfId="697" xr:uid="{F4B453C0-E0C5-4D45-AF6D-CD6624852855}"/>
    <cellStyle name="X_US Asset Managers updated 09 30 2008" xfId="698" xr:uid="{1C3C70C1-CE22-406D-950A-C2CCA2AB5E4E}"/>
    <cellStyle name="year" xfId="699" xr:uid="{4599EED1-8870-450B-B9E4-4871E0C9684D}"/>
    <cellStyle name="Years" xfId="700" xr:uid="{8008C247-C7F9-400A-9F97-2A65B8F86D0E}"/>
    <cellStyle name="Yen" xfId="701" xr:uid="{5D1F3C92-8B64-41EB-925D-F71162DB42B9}"/>
    <cellStyle name="yer" xfId="702" xr:uid="{6668C46C-DD10-4517-9EAF-9D50882ADB77}"/>
    <cellStyle name="桁区切り [0.00]_Japan-03 Budget PD" xfId="703" xr:uid="{208BBBC5-4607-416B-9C2C-A6618329B47E}"/>
    <cellStyle name="桁区切り_Japan-03 Budget PD" xfId="704" xr:uid="{638ECA71-1D94-40C6-9567-A7F5FAF6EFB9}"/>
    <cellStyle name="標準_Japan-03 Budget PD" xfId="705" xr:uid="{315A6791-5658-43A8-92DB-961FF033A3F4}"/>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33"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36" Type="http://schemas.openxmlformats.org/officeDocument/2006/relationships/customXml" Target="../customXml/item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 Id="rId35" Type="http://schemas.openxmlformats.org/officeDocument/2006/relationships/customXml" Target="../customXml/item8.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777241</xdr:colOff>
      <xdr:row>13</xdr:row>
      <xdr:rowOff>140244</xdr:rowOff>
    </xdr:to>
    <xdr:pic>
      <xdr:nvPicPr>
        <xdr:cNvPr id="3" name="Picture 2" descr="pri_3c_300dp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1025"/>
          <a:ext cx="6324601" cy="2118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6</xdr:row>
      <xdr:rowOff>15873</xdr:rowOff>
    </xdr:from>
    <xdr:to>
      <xdr:col>13</xdr:col>
      <xdr:colOff>11906</xdr:colOff>
      <xdr:row>58</xdr:row>
      <xdr:rowOff>142875</xdr:rowOff>
    </xdr:to>
    <xdr:sp macro="" textlink="">
      <xdr:nvSpPr>
        <xdr:cNvPr id="2" name="TextBox 1">
          <a:extLst>
            <a:ext uri="{FF2B5EF4-FFF2-40B4-BE49-F238E27FC236}">
              <a16:creationId xmlns:a16="http://schemas.microsoft.com/office/drawing/2014/main" id="{407D547A-8930-E7D4-AA57-17E351AF4EDF}"/>
            </a:ext>
          </a:extLst>
        </xdr:cNvPr>
        <xdr:cNvSpPr txBox="1"/>
      </xdr:nvSpPr>
      <xdr:spPr>
        <a:xfrm>
          <a:off x="273845" y="1468436"/>
          <a:ext cx="14299405" cy="99734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panose="020B0604020202020204" pitchFamily="34" charset="0"/>
              <a:cs typeface="Arial" panose="020B0604020202020204" pitchFamily="34" charset="0"/>
            </a:rPr>
            <a:t>This document is a financial supplement to our second quarter 2026 earnings release. It is designed to enable comprehensive analysis of our ongoing business using the same core metrics that our management utilizes in assessing our business and making strategic and operational decisions. Throughout this document we provide financial information that is derived from our U.S. GAAP financial statements and adjusted for three different purposes, as follows:</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Operating</a:t>
          </a:r>
          <a:r>
            <a:rPr lang="en-US" sz="1400">
              <a:latin typeface="Arial" panose="020B0604020202020204" pitchFamily="34" charset="0"/>
              <a:cs typeface="Arial" panose="020B0604020202020204" pitchFamily="34" charset="0"/>
            </a:rPr>
            <a:t> </a:t>
          </a:r>
          <a:r>
            <a:rPr lang="en-US" sz="1400">
              <a:solidFill>
                <a:schemeClr val="dk1"/>
              </a:solidFill>
              <a:latin typeface="Arial" panose="020B0604020202020204" pitchFamily="34" charset="0"/>
              <a:ea typeface="+mn-ea"/>
              <a:cs typeface="Arial" panose="020B0604020202020204" pitchFamily="34" charset="0"/>
            </a:rPr>
            <a:t>adjustments exclude the impact of investment gains/losses, including credit impairments and mark-to-market (MTM) investment adjustments. We exclude investment gains/losses, including credit impairments, and MTM investment adjustments in measuring adjusted operating revenues to eliminate period-over-period fluctuations that may obscure comparisons of operating results due to items such as the timing of recognizing gains and losses and other factors prior to an invested asset's maturity or sale that are not directly associated with the Company's insurance operations.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Adjusted net operating income and diluted adjusted operating earnings per share also exclude the tax effect of pre-tax operating adjustments.</a:t>
          </a:r>
          <a:endParaRPr lang="en-US" sz="1400">
            <a:solidFill>
              <a:schemeClr val="dk1"/>
            </a:solidFill>
            <a:latin typeface="Arial" panose="020B0604020202020204" pitchFamily="34" charset="0"/>
            <a:ea typeface="+mn-ea"/>
            <a:cs typeface="Arial" panose="020B0604020202020204" pitchFamily="34" charset="0"/>
          </a:endParaRPr>
        </a:p>
        <a:p>
          <a:pPr marL="285750" indent="-285750">
            <a:buFont typeface="Arial" panose="020B0604020202020204" pitchFamily="34" charset="0"/>
            <a:buChar char="•"/>
          </a:pPr>
          <a:endParaRPr lang="en-US" sz="1400">
            <a:latin typeface="Arial" panose="020B0604020202020204" pitchFamily="34" charset="0"/>
            <a:cs typeface="Arial" panose="020B0604020202020204" pitchFamily="34" charset="0"/>
          </a:endParaRP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Adjusted stockholders’ equity</a:t>
          </a:r>
          <a:r>
            <a:rPr lang="en-US" sz="1400" u="none">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refers to the removal of the impact of net unrealized gains and losses on invested assets. We exclude unrealized investment gains and losses in measuring adjusted stockholders' equity as unrealized gains and losses from the Company's invested assets are largely caused by market movements in interest rates and credit spreads that do not necessarily correlate with the cash flows we will ultimately realize when an invested asset matures or is sold. Adjusted</a:t>
          </a:r>
          <a:r>
            <a:rPr lang="en-US" sz="1400" baseline="0">
              <a:latin typeface="Arial" panose="020B0604020202020204" pitchFamily="34" charset="0"/>
              <a:cs typeface="Arial" panose="020B0604020202020204" pitchFamily="34" charset="0"/>
            </a:rPr>
            <a:t> stockholders' equity also</a:t>
          </a:r>
          <a:r>
            <a:rPr lang="en-US" sz="1400">
              <a:latin typeface="Arial" panose="020B0604020202020204" pitchFamily="34" charset="0"/>
              <a:cs typeface="Arial" panose="020B0604020202020204" pitchFamily="34" charset="0"/>
            </a:rPr>
            <a:t> excludes the difference in future policy benefits calculated using the current discount rate and future policy benefits calculated using the locked-in discount rate at contract issuance recognized in accumulated other comprehensive income. We exclude the impact from the difference in the discount rate in measuring adjusted stockholders' equity as it is caused by market movements in interest rates that are not permanent and may not align with the cash flow we will ultimately incur when policy benefits are settled.</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IPO coinsurance transactions</a:t>
          </a:r>
          <a:r>
            <a:rPr lang="en-US" sz="1400">
              <a:latin typeface="Arial" panose="020B0604020202020204" pitchFamily="34" charset="0"/>
              <a:cs typeface="Arial" panose="020B0604020202020204" pitchFamily="34" charset="0"/>
            </a:rPr>
            <a:t> adjustments relate to transactions in the first quarter of 2010, where we coinsured between 80% and 90% of our business that was in-force at year-end 2009 to entities then affiliated with Citigroup Inc. that were executed concurrent with our initial public offering (IPO). We exclude amounts ceded under the IPO coinsurance transactions in measuring adjusted direct premiums and other ceded premiums to present meaningful comparisons of the actual premiums economically maintained by the Company. Amounts ceded under the IPO coinsurance transactions will continue to decline over time as policies terminate within this block of business.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Management utilizes these non-GAAP financial measures in managing the business and believes they present relevant and meaningful analytical metrics for evaluating the ongoing business. Reconciliations of non-GAAP to GAAP financial measures are included in this financial supplement.</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Certain items throughout this supplement may not add due to rounding and as such, may not agree to other public reporting of the respective item. Certain items throughout this supplement are noted as ‘na’ to indicate not applicable. Certain variances are noted as ‘nm’ to indicate not meaningful. </a:t>
          </a:r>
          <a:endParaRPr lang="en-US" sz="1400">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Sewell, Benjamin [PRI-1PP]" id="{5D959015-66E2-4A03-A829-B1E769DDE0FC}" userId="S::Benjamin.Sewell@primerica.com::5a2157b4-fdb9-42d3-8734-d85489a5daf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3-03-27T21:05:23.63" personId="{5D959015-66E2-4A03-A829-B1E769DDE0FC}" id="{69D6A6F5-8F1F-4388-8695-9F95674BD16A}">
    <text>Current Quarter</text>
  </threadedComment>
</ThreadedComments>
</file>

<file path=xl/worksheets/_rels/sheet10.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8.bin"/><Relationship Id="rId5" Type="http://schemas.openxmlformats.org/officeDocument/2006/relationships/customProperty" Target="../customProperty20.bin"/><Relationship Id="rId4" Type="http://schemas.openxmlformats.org/officeDocument/2006/relationships/customProperty" Target="../customProperty1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0.bin"/><Relationship Id="rId5" Type="http://schemas.openxmlformats.org/officeDocument/2006/relationships/customProperty" Target="../customProperty26.bin"/><Relationship Id="rId4" Type="http://schemas.openxmlformats.org/officeDocument/2006/relationships/customProperty" Target="../customProperty25.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29.bin"/><Relationship Id="rId2" Type="http://schemas.openxmlformats.org/officeDocument/2006/relationships/customProperty" Target="../customProperty28.bin"/><Relationship Id="rId1" Type="http://schemas.openxmlformats.org/officeDocument/2006/relationships/printerSettings" Target="../printerSettings/printerSettings12.bin"/><Relationship Id="rId5" Type="http://schemas.openxmlformats.org/officeDocument/2006/relationships/customProperty" Target="../customProperty31.bin"/><Relationship Id="rId4" Type="http://schemas.openxmlformats.org/officeDocument/2006/relationships/customProperty" Target="../customProperty30.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6.bin"/><Relationship Id="rId1" Type="http://schemas.openxmlformats.org/officeDocument/2006/relationships/printerSettings" Target="../printerSettings/printerSettings1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customProperty" Target="../customProperty37.bin"/><Relationship Id="rId1" Type="http://schemas.openxmlformats.org/officeDocument/2006/relationships/printerSettings" Target="../printerSettings/printerSettings18.bin"/><Relationship Id="rId5" Type="http://schemas.openxmlformats.org/officeDocument/2006/relationships/customProperty" Target="../customProperty40.bin"/><Relationship Id="rId4" Type="http://schemas.openxmlformats.org/officeDocument/2006/relationships/customProperty" Target="../customProperty39.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ustomProperty" Target="../customProperty7.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5.bin"/><Relationship Id="rId5" Type="http://schemas.openxmlformats.org/officeDocument/2006/relationships/customProperty" Target="../customProperty11.bin"/><Relationship Id="rId4" Type="http://schemas.openxmlformats.org/officeDocument/2006/relationships/customProperty" Target="../customProperty10.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6.bin"/><Relationship Id="rId5" Type="http://schemas.openxmlformats.org/officeDocument/2006/relationships/customProperty" Target="../customProperty15.bin"/><Relationship Id="rId4" Type="http://schemas.openxmlformats.org/officeDocument/2006/relationships/customProperty" Target="../customProperty14.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5720-38A0-4624-BDFA-3C6ADB2FC518}">
  <dimension ref="A3:AT46"/>
  <sheetViews>
    <sheetView workbookViewId="0"/>
  </sheetViews>
  <sheetFormatPr defaultRowHeight="14.4"/>
  <sheetData>
    <row r="3" spans="1:46">
      <c r="A3" t="s">
        <v>41</v>
      </c>
      <c r="B3" t="s">
        <v>114</v>
      </c>
      <c r="C3" t="s">
        <v>217</v>
      </c>
      <c r="D3" t="s">
        <v>252</v>
      </c>
      <c r="E3" t="s">
        <v>296</v>
      </c>
      <c r="F3" t="s">
        <v>691</v>
      </c>
      <c r="G3" t="s">
        <v>907</v>
      </c>
    </row>
    <row r="4" spans="1:46">
      <c r="A4">
        <v>1</v>
      </c>
      <c r="B4">
        <v>7</v>
      </c>
      <c r="C4">
        <v>13</v>
      </c>
      <c r="D4">
        <v>19</v>
      </c>
      <c r="E4">
        <v>31</v>
      </c>
      <c r="F4">
        <v>37</v>
      </c>
      <c r="G4">
        <v>43</v>
      </c>
    </row>
    <row r="5" spans="1:46">
      <c r="A5">
        <f>BS!$69:$69</f>
        <v>0</v>
      </c>
      <c r="B5">
        <v>10</v>
      </c>
      <c r="C5">
        <f>BS!$O:$O</f>
        <v>0</v>
      </c>
      <c r="D5">
        <v>2</v>
      </c>
      <c r="G5">
        <f>IS!$64:$64</f>
        <v>-1</v>
      </c>
      <c r="H5">
        <v>11</v>
      </c>
      <c r="I5">
        <f>IS!$N:$N</f>
        <v>0</v>
      </c>
      <c r="J5">
        <v>3</v>
      </c>
      <c r="M5">
        <f>'Term 1'!$68:$68</f>
        <v>0</v>
      </c>
      <c r="N5">
        <v>24</v>
      </c>
      <c r="O5">
        <f>'Term 1'!$A:$A</f>
        <v>0</v>
      </c>
      <c r="P5">
        <v>1</v>
      </c>
      <c r="S5">
        <f>'ISP 1'!$63:$63</f>
        <v>-360518.76338350307</v>
      </c>
      <c r="T5">
        <v>17</v>
      </c>
      <c r="U5">
        <f>'ISP 1'!$N:$N</f>
        <v>0</v>
      </c>
      <c r="V5">
        <v>3</v>
      </c>
      <c r="AE5">
        <f>CNO!$49:$49</f>
        <v>0</v>
      </c>
      <c r="AF5">
        <v>16</v>
      </c>
      <c r="AG5">
        <f>CNO!$A:$A</f>
        <v>0</v>
      </c>
      <c r="AH5">
        <v>1</v>
      </c>
      <c r="AK5">
        <f>CHECK!$8:$8</f>
        <v>0</v>
      </c>
      <c r="AL5">
        <v>1</v>
      </c>
      <c r="AM5">
        <f>CHECK!$N:$N</f>
        <v>0</v>
      </c>
      <c r="AN5">
        <v>4</v>
      </c>
      <c r="AS5" s="661">
        <f>Corp!$N:$N</f>
        <v>0</v>
      </c>
      <c r="AT5">
        <v>1</v>
      </c>
    </row>
    <row r="6" spans="1:46">
      <c r="A6" t="str">
        <f>BS!$76:$76</f>
        <v>GAAP Historical Legal Vehicle</v>
      </c>
      <c r="B6">
        <v>11</v>
      </c>
      <c r="C6">
        <f>BS!$P:$P</f>
        <v>0</v>
      </c>
      <c r="D6">
        <v>3</v>
      </c>
      <c r="G6">
        <f>IS!$57:$57</f>
        <v>0</v>
      </c>
      <c r="H6">
        <v>16</v>
      </c>
      <c r="I6">
        <f>IS!$O:$O</f>
        <v>0</v>
      </c>
      <c r="J6">
        <v>4</v>
      </c>
      <c r="M6">
        <f>'Term 1'!$71:$71</f>
        <v>0</v>
      </c>
      <c r="N6">
        <v>25</v>
      </c>
      <c r="O6">
        <f>'Term 1'!$B:$B</f>
        <v>0</v>
      </c>
      <c r="P6">
        <v>2</v>
      </c>
      <c r="S6" t="str">
        <f>'ISP 1'!$60:$60</f>
        <v>2026 - Q2</v>
      </c>
      <c r="T6">
        <v>18</v>
      </c>
      <c r="U6">
        <f>'ISP 1'!$O:$O</f>
        <v>0</v>
      </c>
      <c r="V6">
        <v>4</v>
      </c>
      <c r="AE6">
        <f>CNO!$52:$52</f>
        <v>0</v>
      </c>
      <c r="AF6">
        <v>17</v>
      </c>
      <c r="AG6">
        <f>CNO!$B:$B</f>
        <v>0</v>
      </c>
      <c r="AH6">
        <v>2</v>
      </c>
      <c r="AK6">
        <f>CHECK!$6:$6</f>
        <v>0</v>
      </c>
      <c r="AL6">
        <v>12</v>
      </c>
      <c r="AM6" t="str">
        <f>CHECK!$O:$O</f>
        <v>2025 - Q2</v>
      </c>
      <c r="AN6">
        <v>5</v>
      </c>
    </row>
    <row r="7" spans="1:46">
      <c r="A7" t="str">
        <f>BS!$80:$80</f>
        <v>GAAP Historical Legal Vehicle</v>
      </c>
      <c r="B7">
        <v>12</v>
      </c>
      <c r="C7">
        <f>BS!$Q:$Q</f>
        <v>3885588.8857408054</v>
      </c>
      <c r="D7">
        <v>4</v>
      </c>
      <c r="G7">
        <f>IS!$60:$60</f>
        <v>-1</v>
      </c>
      <c r="H7">
        <v>17</v>
      </c>
      <c r="I7">
        <f>IS!$P:$P</f>
        <v>868650.95454983681</v>
      </c>
      <c r="J7">
        <v>5</v>
      </c>
      <c r="M7">
        <f>'Term 1'!$75:$75</f>
        <v>0</v>
      </c>
      <c r="N7">
        <v>26</v>
      </c>
      <c r="O7">
        <f>'Term 1'!$C:$C</f>
        <v>0</v>
      </c>
      <c r="P7">
        <v>3</v>
      </c>
      <c r="S7">
        <f>'ISP 1'!$67:$67</f>
        <v>-131231.98282</v>
      </c>
      <c r="T7">
        <v>19</v>
      </c>
      <c r="U7">
        <f>'ISP 1'!$P:$P</f>
        <v>0</v>
      </c>
      <c r="V7">
        <v>5</v>
      </c>
      <c r="AE7">
        <f>CNO!$59:$59</f>
        <v>0</v>
      </c>
      <c r="AF7">
        <v>18</v>
      </c>
      <c r="AG7">
        <f>CNO!$C:$C</f>
        <v>0</v>
      </c>
      <c r="AH7">
        <v>3</v>
      </c>
      <c r="AK7">
        <f>CHECK!$9:$9</f>
        <v>0</v>
      </c>
      <c r="AL7">
        <v>13</v>
      </c>
      <c r="AM7">
        <f>CHECK!$P:$P</f>
        <v>0</v>
      </c>
      <c r="AN7">
        <v>6</v>
      </c>
    </row>
    <row r="8" spans="1:46">
      <c r="A8" t="str">
        <f>BS!$83:$83</f>
        <v>GAAP Historical Legal Vehicle</v>
      </c>
      <c r="B8">
        <v>16</v>
      </c>
      <c r="C8">
        <f>BS!$R:$R</f>
        <v>1175380</v>
      </c>
      <c r="D8">
        <v>5</v>
      </c>
      <c r="G8">
        <f>IS!$67:$67</f>
        <v>-1</v>
      </c>
      <c r="H8">
        <v>18</v>
      </c>
      <c r="I8">
        <f>IS!$Q:$Q</f>
        <v>-420843.29493054264</v>
      </c>
      <c r="J8">
        <v>6</v>
      </c>
      <c r="M8">
        <f>'Term 1'!$81:$81</f>
        <v>0</v>
      </c>
      <c r="N8">
        <v>27</v>
      </c>
      <c r="O8">
        <f>'Term 1'!$D:$D</f>
        <v>0</v>
      </c>
      <c r="P8">
        <v>4</v>
      </c>
      <c r="S8">
        <f>'ISP 1'!$68:$68</f>
        <v>-4277.1226750140768</v>
      </c>
      <c r="T8">
        <v>20</v>
      </c>
      <c r="U8">
        <f>'ISP 1'!$Q:$Q</f>
        <v>131305.31036238626</v>
      </c>
      <c r="V8">
        <v>6</v>
      </c>
      <c r="AE8">
        <f>CNO!$70:$70</f>
        <v>0</v>
      </c>
      <c r="AF8">
        <v>20</v>
      </c>
      <c r="AG8">
        <f>CNO!$D:$D</f>
        <v>0</v>
      </c>
      <c r="AH8">
        <v>4</v>
      </c>
      <c r="AK8">
        <f>CHECK!$10:$10</f>
        <v>0</v>
      </c>
      <c r="AL8">
        <v>14</v>
      </c>
      <c r="AM8">
        <f>CHECK!$Q:$Q</f>
        <v>-853683.24450927833</v>
      </c>
      <c r="AN8">
        <v>7</v>
      </c>
    </row>
    <row r="9" spans="1:46">
      <c r="A9" t="str">
        <f>BS!$86:$86</f>
        <v>GAAP Historical Legal Vehicle</v>
      </c>
      <c r="B9">
        <v>19</v>
      </c>
      <c r="C9">
        <f>BS!$S:$S</f>
        <v>5337082.3489217237</v>
      </c>
      <c r="D9">
        <v>6</v>
      </c>
      <c r="G9">
        <f>IS!$70:$70</f>
        <v>-1</v>
      </c>
      <c r="H9">
        <v>19</v>
      </c>
      <c r="I9">
        <f>IS!$R:$R</f>
        <v>456386.95136354852</v>
      </c>
      <c r="J9">
        <v>7</v>
      </c>
      <c r="M9">
        <f>'Term 1'!$85:$85</f>
        <v>0</v>
      </c>
      <c r="N9">
        <v>28</v>
      </c>
      <c r="O9">
        <f>'Term 1'!$E:$E</f>
        <v>0</v>
      </c>
      <c r="P9">
        <v>5</v>
      </c>
      <c r="S9">
        <f>'ISP 1'!$97:$97</f>
        <v>92316.09031</v>
      </c>
      <c r="T9">
        <v>23</v>
      </c>
      <c r="U9">
        <f>'ISP 1'!$R:$R</f>
        <v>187366.4282321558</v>
      </c>
      <c r="V9">
        <v>7</v>
      </c>
      <c r="AE9">
        <f>CNO!$65:$65</f>
        <v>0</v>
      </c>
      <c r="AF9">
        <v>21</v>
      </c>
      <c r="AG9">
        <f>CNO!$E:$E</f>
        <v>0</v>
      </c>
      <c r="AH9">
        <v>5</v>
      </c>
      <c r="AK9">
        <f>CHECK!$11:$11</f>
        <v>0</v>
      </c>
      <c r="AL9">
        <v>15</v>
      </c>
      <c r="AM9">
        <f>CHECK!$R:$R</f>
        <v>59322.279832669898</v>
      </c>
      <c r="AN9">
        <v>8</v>
      </c>
    </row>
    <row r="10" spans="1:46">
      <c r="A10" t="str">
        <f>BS!$89:$89</f>
        <v>GAAP Historical Legal Vehicle</v>
      </c>
      <c r="B10">
        <v>21</v>
      </c>
      <c r="C10">
        <f>BS!$T:$T</f>
        <v>2450744.9989815657</v>
      </c>
      <c r="D10">
        <v>7</v>
      </c>
      <c r="G10">
        <f>IS!$73:$73</f>
        <v>-1</v>
      </c>
      <c r="H10">
        <v>20</v>
      </c>
      <c r="I10">
        <f>IS!$S:$S</f>
        <v>43737.713263577185</v>
      </c>
      <c r="J10">
        <v>8</v>
      </c>
      <c r="M10">
        <f>'Term 1'!$88:$88</f>
        <v>0</v>
      </c>
      <c r="N10">
        <v>29</v>
      </c>
      <c r="O10">
        <f>'Term 1'!$F:$F</f>
        <v>0</v>
      </c>
      <c r="P10">
        <v>6</v>
      </c>
      <c r="S10">
        <f>'ISP 1'!$98:$98</f>
        <v>3499.8803445714584</v>
      </c>
      <c r="T10">
        <v>24</v>
      </c>
      <c r="U10">
        <f>'ISP 1'!$S:$S</f>
        <v>24118.351420000003</v>
      </c>
      <c r="V10">
        <v>8</v>
      </c>
      <c r="AE10">
        <f>CNO!$75:$75</f>
        <v>0</v>
      </c>
      <c r="AF10">
        <v>22</v>
      </c>
      <c r="AG10">
        <f>CNO!$N:$N</f>
        <v>41140.781703795561</v>
      </c>
      <c r="AH10">
        <v>8</v>
      </c>
      <c r="AK10">
        <f>CHECK!$16:$16</f>
        <v>0</v>
      </c>
      <c r="AL10">
        <v>16</v>
      </c>
      <c r="AM10">
        <f>CHECK!$S:$S</f>
        <v>-258218.98864944035</v>
      </c>
      <c r="AN10">
        <v>9</v>
      </c>
    </row>
    <row r="11" spans="1:46">
      <c r="A11" t="str">
        <f>BS!$90:$90</f>
        <v>GAAP Historical Legal Vehicle</v>
      </c>
      <c r="B11">
        <v>22</v>
      </c>
      <c r="C11">
        <f>BS!$U:$U</f>
        <v>0</v>
      </c>
      <c r="D11">
        <v>8</v>
      </c>
      <c r="G11">
        <f>IS!$76:$76</f>
        <v>-1</v>
      </c>
      <c r="H11">
        <v>21</v>
      </c>
      <c r="I11">
        <f>IS!$T:$T</f>
        <v>0</v>
      </c>
      <c r="J11">
        <v>9</v>
      </c>
      <c r="M11">
        <f>'Term 1'!$91:$91</f>
        <v>0</v>
      </c>
      <c r="N11">
        <v>30</v>
      </c>
      <c r="O11">
        <f>'Term 1'!$G:$G</f>
        <v>0</v>
      </c>
      <c r="P11">
        <v>7</v>
      </c>
      <c r="S11">
        <f>'ISP 1'!$101:$101</f>
        <v>64937.234089999998</v>
      </c>
      <c r="T11">
        <v>25</v>
      </c>
      <c r="U11">
        <f>'ISP 1'!$T:$T</f>
        <v>0</v>
      </c>
      <c r="V11">
        <v>9</v>
      </c>
      <c r="AE11">
        <f>CNO!$62:$62</f>
        <v>0</v>
      </c>
      <c r="AF11">
        <v>23</v>
      </c>
      <c r="AG11">
        <f>CNO!$O:$O</f>
        <v>0</v>
      </c>
      <c r="AH11">
        <v>9</v>
      </c>
      <c r="AK11">
        <f>CHECK!$18:$18</f>
        <v>0</v>
      </c>
      <c r="AL11">
        <v>18</v>
      </c>
      <c r="AM11">
        <f>CHECK!$T:$T</f>
        <v>-1145340.1594808344</v>
      </c>
      <c r="AN11">
        <v>10</v>
      </c>
    </row>
    <row r="12" spans="1:46">
      <c r="A12" t="str">
        <f>BS!$91:$91</f>
        <v>GAAP Historical Legal Vehicle</v>
      </c>
      <c r="B12">
        <v>23</v>
      </c>
      <c r="C12">
        <f>BS!$V:$V</f>
        <v>0</v>
      </c>
      <c r="D12">
        <v>9</v>
      </c>
      <c r="G12">
        <f>IS!$79:$79</f>
        <v>-1</v>
      </c>
      <c r="H12">
        <v>22</v>
      </c>
      <c r="I12">
        <f>IS!$U:$U</f>
        <v>0</v>
      </c>
      <c r="J12">
        <v>10</v>
      </c>
      <c r="M12">
        <f>'Term 1'!$78:$78</f>
        <v>0</v>
      </c>
      <c r="N12">
        <v>32</v>
      </c>
      <c r="O12" t="str">
        <f>'Term 1'!$H:$H</f>
        <v>Other, net</v>
      </c>
      <c r="P12">
        <v>8</v>
      </c>
      <c r="S12">
        <f>'ISP 1'!$102:$102</f>
        <v>35740.038396795499</v>
      </c>
      <c r="T12">
        <v>26</v>
      </c>
      <c r="U12">
        <f>'ISP 1'!$U:$U</f>
        <v>0</v>
      </c>
      <c r="V12">
        <v>10</v>
      </c>
      <c r="AE12">
        <f>CNO!$86:$86</f>
        <v>0</v>
      </c>
      <c r="AF12">
        <v>24</v>
      </c>
      <c r="AG12">
        <f>CNO!$P:$P</f>
        <v>2303.7089411503457</v>
      </c>
      <c r="AH12">
        <v>10</v>
      </c>
      <c r="AK12">
        <f>CHECK!$20:$20</f>
        <v>0</v>
      </c>
      <c r="AL12">
        <v>19</v>
      </c>
      <c r="AM12">
        <f>CHECK!$U:$U</f>
        <v>0</v>
      </c>
      <c r="AN12">
        <v>11</v>
      </c>
    </row>
    <row r="13" spans="1:46">
      <c r="A13" t="str">
        <f>BS!$92:$92</f>
        <v>GAAP Historical Legal Vehicle</v>
      </c>
      <c r="B13">
        <v>24</v>
      </c>
      <c r="C13">
        <f>BS!$A:$A</f>
        <v>0</v>
      </c>
      <c r="D13">
        <v>13</v>
      </c>
      <c r="G13">
        <f>IS!$82:$82</f>
        <v>-1</v>
      </c>
      <c r="H13">
        <v>23</v>
      </c>
      <c r="I13">
        <f>IS!$A:$A</f>
        <v>0</v>
      </c>
      <c r="J13">
        <v>12</v>
      </c>
      <c r="M13">
        <f>'Term 1'!$95:$95</f>
        <v>0</v>
      </c>
      <c r="N13">
        <v>33</v>
      </c>
      <c r="O13">
        <f>'Term 1'!$I:$I</f>
        <v>0</v>
      </c>
      <c r="P13">
        <v>9</v>
      </c>
      <c r="S13">
        <f>'ISP 1'!$84:$84</f>
        <v>256303.15397735141</v>
      </c>
      <c r="T13">
        <v>27</v>
      </c>
      <c r="U13">
        <f>'ISP 1'!$A:$A</f>
        <v>0</v>
      </c>
      <c r="V13">
        <v>11</v>
      </c>
      <c r="AE13">
        <f>CNO!$91:$91</f>
        <v>0</v>
      </c>
      <c r="AF13">
        <v>25</v>
      </c>
      <c r="AG13">
        <f>CNO!$Q:$Q</f>
        <v>2244.8686319789726</v>
      </c>
      <c r="AH13">
        <v>11</v>
      </c>
      <c r="AK13">
        <f>CHECK!$21:$21</f>
        <v>0</v>
      </c>
      <c r="AL13">
        <v>20</v>
      </c>
      <c r="AM13" s="105" t="str">
        <f>CHECK!$A:$A</f>
        <v>GAAP Segments</v>
      </c>
      <c r="AN13">
        <v>22</v>
      </c>
    </row>
    <row r="14" spans="1:46">
      <c r="A14" t="str">
        <f>BS!$93:$93</f>
        <v>GAAP Historical Legal Vehicle</v>
      </c>
      <c r="B14">
        <v>25</v>
      </c>
      <c r="C14">
        <f>BS!$C:$C</f>
        <v>0</v>
      </c>
      <c r="D14">
        <v>14</v>
      </c>
      <c r="G14">
        <f>IS!$85:$85</f>
        <v>-1</v>
      </c>
      <c r="H14">
        <v>24</v>
      </c>
      <c r="I14">
        <f>IS!$B:$B</f>
        <v>0</v>
      </c>
      <c r="J14">
        <v>13</v>
      </c>
      <c r="M14">
        <f>'Term 1'!$99:$99</f>
        <v>0</v>
      </c>
      <c r="N14">
        <v>34</v>
      </c>
      <c r="O14">
        <f>'Term 1'!$J:$J</f>
        <v>0</v>
      </c>
      <c r="P14">
        <v>10</v>
      </c>
      <c r="S14">
        <f>'ISP 1'!$75:$75</f>
        <v>-24118.351420000003</v>
      </c>
      <c r="T14">
        <v>28</v>
      </c>
      <c r="U14">
        <f>'ISP 1'!$B:$B</f>
        <v>0</v>
      </c>
      <c r="V14">
        <v>12</v>
      </c>
      <c r="AE14">
        <f>CNO!$97:$97</f>
        <v>0</v>
      </c>
      <c r="AF14">
        <v>26</v>
      </c>
      <c r="AG14">
        <f>CNO!$R:$R</f>
        <v>2552.8225699999998</v>
      </c>
      <c r="AH14">
        <v>12</v>
      </c>
      <c r="AK14">
        <f>CHECK!$22:$22</f>
        <v>0</v>
      </c>
      <c r="AL14">
        <v>21</v>
      </c>
      <c r="AM14" s="105" t="str">
        <f>CHECK!$B:$B</f>
        <v>Actuals Activity</v>
      </c>
      <c r="AN14">
        <v>23</v>
      </c>
    </row>
    <row r="15" spans="1:46">
      <c r="A15" t="str">
        <f>BS!$94:$94</f>
        <v>GAAP Historical Legal Vehicle</v>
      </c>
      <c r="B15">
        <v>26</v>
      </c>
      <c r="C15">
        <f>BS!$D:$D</f>
        <v>0</v>
      </c>
      <c r="D15">
        <v>15</v>
      </c>
      <c r="G15">
        <f>IS!$88:$88</f>
        <v>-1</v>
      </c>
      <c r="H15">
        <v>25</v>
      </c>
      <c r="I15">
        <f>IS!$C:$C</f>
        <v>0</v>
      </c>
      <c r="J15">
        <v>14</v>
      </c>
      <c r="M15">
        <f>'Term 1'!$105:$105</f>
        <v>0</v>
      </c>
      <c r="N15">
        <v>35</v>
      </c>
      <c r="O15">
        <f>'Term 1'!$K:$K</f>
        <v>0</v>
      </c>
      <c r="P15">
        <v>11</v>
      </c>
      <c r="S15">
        <f>'ISP 1'!$76:$76</f>
        <v>0</v>
      </c>
      <c r="T15">
        <v>29</v>
      </c>
      <c r="U15">
        <f>'ISP 1'!$C:$C</f>
        <v>0</v>
      </c>
      <c r="V15">
        <v>13</v>
      </c>
      <c r="AE15">
        <f>CNO!$100:$100</f>
        <v>0</v>
      </c>
      <c r="AF15">
        <v>27</v>
      </c>
      <c r="AG15">
        <f>CNO!$S:$S</f>
        <v>1695.3535162138724</v>
      </c>
      <c r="AH15">
        <v>13</v>
      </c>
      <c r="AK15">
        <f>CHECK!$23:$23</f>
        <v>0</v>
      </c>
      <c r="AL15">
        <v>28</v>
      </c>
      <c r="AM15">
        <f>CHECK!$C:$C</f>
        <v>0</v>
      </c>
      <c r="AN15">
        <v>24</v>
      </c>
    </row>
    <row r="16" spans="1:46">
      <c r="A16" t="str">
        <f>BS!$95:$95</f>
        <v>GAAP Historical Legal Vehicle</v>
      </c>
      <c r="B16">
        <v>27</v>
      </c>
      <c r="C16">
        <f>BS!$B:$B</f>
        <v>0</v>
      </c>
      <c r="D16">
        <v>18</v>
      </c>
      <c r="G16">
        <f>IS!$96:$96</f>
        <v>1</v>
      </c>
      <c r="H16">
        <v>26</v>
      </c>
      <c r="I16">
        <f>IS!$D:$D</f>
        <v>0</v>
      </c>
      <c r="J16">
        <v>15</v>
      </c>
      <c r="M16">
        <f>'Term 1'!$108:$108</f>
        <v>0</v>
      </c>
      <c r="N16">
        <v>36</v>
      </c>
      <c r="O16">
        <f>'Term 1'!$L:$L</f>
        <v>0</v>
      </c>
      <c r="P16">
        <v>12</v>
      </c>
      <c r="S16">
        <f>'ISP 1'!$79:$79</f>
        <v>0</v>
      </c>
      <c r="T16">
        <v>30</v>
      </c>
      <c r="U16">
        <f>'ISP 1'!$D:$D</f>
        <v>0</v>
      </c>
      <c r="V16">
        <v>14</v>
      </c>
      <c r="AE16">
        <f>CNO!$103:$103</f>
        <v>0</v>
      </c>
      <c r="AF16">
        <v>28</v>
      </c>
      <c r="AG16">
        <f>CNO!$T:$T</f>
        <v>0</v>
      </c>
      <c r="AH16">
        <v>14</v>
      </c>
      <c r="AK16">
        <f>CHECK!$25:$25</f>
        <v>0</v>
      </c>
      <c r="AL16">
        <v>29</v>
      </c>
      <c r="AM16" t="str">
        <f>CHECK!$D:$D</f>
        <v>GAAP Net Income</v>
      </c>
      <c r="AN16">
        <v>25</v>
      </c>
    </row>
    <row r="17" spans="1:40">
      <c r="A17" t="str">
        <f>BS!$98:$98</f>
        <v>GAAP Historical Legal Vehicle</v>
      </c>
      <c r="B17">
        <v>28</v>
      </c>
      <c r="C17">
        <f>BS!$E:$E</f>
        <v>0</v>
      </c>
      <c r="D17">
        <v>61</v>
      </c>
      <c r="G17">
        <f>IS!$102:$102</f>
        <v>1</v>
      </c>
      <c r="H17">
        <v>27</v>
      </c>
      <c r="I17">
        <f>IS!$E:$E</f>
        <v>0</v>
      </c>
      <c r="J17">
        <v>28</v>
      </c>
      <c r="M17">
        <f>'Term 1'!$111:$111</f>
        <v>0</v>
      </c>
      <c r="N17">
        <v>37</v>
      </c>
      <c r="O17">
        <f>'Term 1'!$M:$M</f>
        <v>0</v>
      </c>
      <c r="P17">
        <v>13</v>
      </c>
      <c r="S17">
        <f>'ISP 1'!$80:$80</f>
        <v>-3292.8897981625905</v>
      </c>
      <c r="T17">
        <v>31</v>
      </c>
      <c r="U17">
        <f>'ISP 1'!$E:$E</f>
        <v>0</v>
      </c>
      <c r="V17">
        <v>15</v>
      </c>
      <c r="AE17">
        <f>CNO!$106:$106</f>
        <v>0</v>
      </c>
      <c r="AF17">
        <v>29</v>
      </c>
      <c r="AG17">
        <f>CNO!$U:$U</f>
        <v>0</v>
      </c>
      <c r="AH17">
        <v>15</v>
      </c>
      <c r="AK17">
        <f>CHECK!$26:$26</f>
        <v>0</v>
      </c>
      <c r="AL17">
        <v>30</v>
      </c>
      <c r="AM17">
        <f>CHECK!$E:$E</f>
        <v>0</v>
      </c>
      <c r="AN17">
        <v>26</v>
      </c>
    </row>
    <row r="18" spans="1:40">
      <c r="A18" t="str">
        <f>BS!$72:$72</f>
        <v>GAAP Historical Legal Vehicle</v>
      </c>
      <c r="B18">
        <v>30</v>
      </c>
      <c r="C18" s="661">
        <f>BS!$N:$N</f>
        <v>906279.50161732256</v>
      </c>
      <c r="D18">
        <v>62</v>
      </c>
      <c r="G18">
        <f>IS!$92:$92</f>
        <v>-1</v>
      </c>
      <c r="H18">
        <v>29</v>
      </c>
      <c r="M18">
        <f>'Term 1'!$114:$114</f>
        <v>0</v>
      </c>
      <c r="N18">
        <v>38</v>
      </c>
      <c r="O18">
        <f>'Term 1'!$N:$N</f>
        <v>76921.296470859059</v>
      </c>
      <c r="P18">
        <v>16</v>
      </c>
      <c r="S18">
        <f>'ISP 1'!$88:$88</f>
        <v>0</v>
      </c>
      <c r="T18">
        <v>36</v>
      </c>
      <c r="U18">
        <f>'ISP 1'!$F:$F</f>
        <v>0</v>
      </c>
      <c r="V18">
        <v>16</v>
      </c>
      <c r="AE18">
        <f>CNO!$109:$109</f>
        <v>0</v>
      </c>
      <c r="AF18">
        <v>30</v>
      </c>
      <c r="AG18">
        <f>CNO!$F:$F</f>
        <v>0</v>
      </c>
      <c r="AH18">
        <v>43</v>
      </c>
      <c r="AK18">
        <f>CHECK!$27:$27</f>
        <v>0</v>
      </c>
      <c r="AL18">
        <v>31</v>
      </c>
      <c r="AM18">
        <f>CHECK!$F:$F</f>
        <v>0</v>
      </c>
      <c r="AN18">
        <v>27</v>
      </c>
    </row>
    <row r="19" spans="1:40">
      <c r="A19" t="str">
        <f>BS!$102:$102</f>
        <v>GAAP Historical Legal Vehicle</v>
      </c>
      <c r="B19">
        <v>31</v>
      </c>
      <c r="G19">
        <f>IS!$105:$105</f>
        <v>1</v>
      </c>
      <c r="H19">
        <v>30</v>
      </c>
      <c r="M19">
        <f>'Term 1'!$117:$117</f>
        <v>0</v>
      </c>
      <c r="N19">
        <v>39</v>
      </c>
      <c r="O19">
        <f>'Term 1'!$O:$O</f>
        <v>2237.7812494720938</v>
      </c>
      <c r="P19">
        <v>17</v>
      </c>
      <c r="S19">
        <f>'ISP 1'!$71:$71</f>
        <v>-129347.60359</v>
      </c>
      <c r="T19">
        <v>37</v>
      </c>
      <c r="AE19">
        <f>CNO!$71:$71</f>
        <v>0</v>
      </c>
      <c r="AF19">
        <v>35</v>
      </c>
      <c r="AK19">
        <f>CHECK!$29:$29</f>
        <v>0</v>
      </c>
      <c r="AL19">
        <v>32</v>
      </c>
    </row>
    <row r="20" spans="1:40">
      <c r="A20" t="str">
        <f>BS!$106:$106</f>
        <v>GAAP Historical Legal Vehicle</v>
      </c>
      <c r="B20">
        <v>32</v>
      </c>
      <c r="G20">
        <f>IS!$108:$108</f>
        <v>1</v>
      </c>
      <c r="H20">
        <v>31</v>
      </c>
      <c r="M20">
        <f>'Term 1'!$120:$120</f>
        <v>0</v>
      </c>
      <c r="N20">
        <v>41</v>
      </c>
      <c r="O20">
        <f>'Term 1'!$P:$P</f>
        <v>63057.811125424938</v>
      </c>
      <c r="P20">
        <v>18</v>
      </c>
      <c r="S20">
        <f>'ISP 1'!$72:$72</f>
        <v>-68250.813073121986</v>
      </c>
      <c r="T20">
        <v>38</v>
      </c>
      <c r="AE20">
        <f>CNO!$69:$69</f>
        <v>0</v>
      </c>
      <c r="AF20">
        <v>36</v>
      </c>
      <c r="AK20">
        <f>CHECK!$30:$30</f>
        <v>0</v>
      </c>
      <c r="AL20">
        <v>33</v>
      </c>
    </row>
    <row r="21" spans="1:40">
      <c r="A21" t="str">
        <f>BS!$109:$109</f>
        <v>GAAP Historical Legal Vehicle</v>
      </c>
      <c r="B21">
        <v>33</v>
      </c>
      <c r="G21">
        <f>IS!$109:$109</f>
        <v>1</v>
      </c>
      <c r="H21">
        <v>32</v>
      </c>
      <c r="M21">
        <f>'Term 1'!$127:$127</f>
        <v>0</v>
      </c>
      <c r="N21">
        <v>42</v>
      </c>
      <c r="O21">
        <f>'Term 1'!$Q:$Q</f>
        <v>310253.83658449148</v>
      </c>
      <c r="P21">
        <v>19</v>
      </c>
      <c r="S21">
        <f>'ISP 1'!$91:$91</f>
        <v>1304.0705079465201</v>
      </c>
      <c r="T21">
        <v>39</v>
      </c>
      <c r="AE21">
        <f>CNO!$68:$68</f>
        <v>0</v>
      </c>
      <c r="AF21">
        <v>39</v>
      </c>
      <c r="AK21">
        <f>CHECK!$31:$31</f>
        <v>0</v>
      </c>
      <c r="AL21">
        <v>34</v>
      </c>
    </row>
    <row r="22" spans="1:40">
      <c r="A22" t="str">
        <f>BS!$110:$110</f>
        <v>GAAP Historical Legal Vehicle</v>
      </c>
      <c r="B22">
        <v>34</v>
      </c>
      <c r="G22">
        <f>IS!$112:$112</f>
        <v>1</v>
      </c>
      <c r="H22">
        <v>33</v>
      </c>
      <c r="M22">
        <f>'Term 1'!$124:$124</f>
        <v>0</v>
      </c>
      <c r="N22">
        <v>43</v>
      </c>
      <c r="O22">
        <f>'Term 1'!$R:$R</f>
        <v>154859.10336638498</v>
      </c>
      <c r="P22">
        <v>20</v>
      </c>
      <c r="S22">
        <f>'ISP 1'!$94:$94</f>
        <v>3449.9284719601574</v>
      </c>
      <c r="T22">
        <v>40</v>
      </c>
      <c r="AE22">
        <f>CNO!$112:$112</f>
        <v>0</v>
      </c>
      <c r="AF22">
        <v>40</v>
      </c>
      <c r="AK22">
        <f>CHECK!$32:$32</f>
        <v>0</v>
      </c>
      <c r="AL22">
        <v>35</v>
      </c>
    </row>
    <row r="23" spans="1:40">
      <c r="A23" t="str">
        <f>BS!$111:$111</f>
        <v>GAAP Historical Legal Vehicle</v>
      </c>
      <c r="B23">
        <v>35</v>
      </c>
      <c r="G23">
        <f>IS!$115:$115</f>
        <v>1</v>
      </c>
      <c r="H23">
        <v>34</v>
      </c>
      <c r="M23">
        <f>'Term 1'!$102:$102</f>
        <v>0</v>
      </c>
      <c r="N23">
        <v>44</v>
      </c>
      <c r="O23">
        <f>'Term 1'!$S:$S</f>
        <v>0</v>
      </c>
      <c r="P23">
        <v>21</v>
      </c>
      <c r="S23">
        <f>'ISP 1'!$105:$105</f>
        <v>0</v>
      </c>
      <c r="T23">
        <v>41</v>
      </c>
      <c r="AE23">
        <f>CNO!$117:$117</f>
        <v>0</v>
      </c>
      <c r="AF23">
        <v>41</v>
      </c>
      <c r="AK23">
        <f>CHECK!$13:$13</f>
        <v>0</v>
      </c>
      <c r="AL23">
        <v>36</v>
      </c>
    </row>
    <row r="24" spans="1:40">
      <c r="A24" t="str">
        <f>BS!$114:$114</f>
        <v>GAAP Historical Legal Vehicle</v>
      </c>
      <c r="B24">
        <v>37</v>
      </c>
      <c r="G24">
        <f>IS!$118:$118</f>
        <v>1</v>
      </c>
      <c r="H24">
        <v>35</v>
      </c>
      <c r="M24">
        <f>'Term 1'!$130:$130</f>
        <v>0</v>
      </c>
      <c r="N24">
        <v>45</v>
      </c>
      <c r="O24">
        <f>'Term 1'!$T:$T</f>
        <v>0</v>
      </c>
      <c r="P24">
        <v>22</v>
      </c>
      <c r="S24">
        <f>'ISP 1'!$108:$108</f>
        <v>0</v>
      </c>
      <c r="T24">
        <v>42</v>
      </c>
      <c r="AE24">
        <f>CNO!$118:$118</f>
        <v>0</v>
      </c>
      <c r="AF24">
        <v>42</v>
      </c>
      <c r="AK24">
        <f>CHECK!$14:$14</f>
        <v>0</v>
      </c>
      <c r="AL24">
        <v>37</v>
      </c>
    </row>
    <row r="25" spans="1:40">
      <c r="A25" t="str">
        <f>BS!$115:$115</f>
        <v>GAAP Historical Legal Vehicle</v>
      </c>
      <c r="B25">
        <v>38</v>
      </c>
      <c r="G25">
        <f>IS!$121:$121</f>
        <v>1</v>
      </c>
      <c r="H25">
        <v>36</v>
      </c>
      <c r="O25">
        <f>'Term 1'!$U:$U</f>
        <v>0</v>
      </c>
      <c r="P25">
        <v>23</v>
      </c>
      <c r="S25">
        <f>'ISP 1'!$111:$111</f>
        <v>55055.911856077764</v>
      </c>
      <c r="T25">
        <v>44</v>
      </c>
      <c r="AE25">
        <f>CNO!$82:$82</f>
        <v>0</v>
      </c>
      <c r="AF25">
        <v>44</v>
      </c>
      <c r="AK25">
        <f>CHECK!$17:$17</f>
        <v>0</v>
      </c>
      <c r="AL25">
        <v>38</v>
      </c>
    </row>
    <row r="26" spans="1:40">
      <c r="A26" t="str">
        <f>BS!$116:$116</f>
        <v>GAAP Historical Legal Vehicle</v>
      </c>
      <c r="B26">
        <v>39</v>
      </c>
      <c r="G26">
        <f>IS!$124:$124</f>
        <v>1</v>
      </c>
      <c r="H26">
        <v>38</v>
      </c>
      <c r="S26">
        <f>'ISP 1'!$119:$119</f>
        <v>10909.904780000001</v>
      </c>
      <c r="T26">
        <v>45</v>
      </c>
      <c r="AE26">
        <f>CNO!$94:$94</f>
        <v>0</v>
      </c>
      <c r="AF26">
        <v>46</v>
      </c>
    </row>
    <row r="27" spans="1:40">
      <c r="A27" t="str">
        <f>BS!$120:$120</f>
        <v>GAAP Historical Legal Vehicle</v>
      </c>
      <c r="B27">
        <v>41</v>
      </c>
      <c r="G27">
        <f>IS!$128:$128</f>
        <v>1</v>
      </c>
      <c r="H27">
        <v>41</v>
      </c>
      <c r="S27">
        <f>'ISP 1'!$115:$115</f>
        <v>3114.78008</v>
      </c>
      <c r="T27">
        <v>46</v>
      </c>
      <c r="AE27">
        <f>CNO!$76:$76</f>
        <v>0</v>
      </c>
      <c r="AF27">
        <v>48</v>
      </c>
    </row>
    <row r="28" spans="1:40">
      <c r="A28" t="str">
        <f>BS!$123:$123</f>
        <v>GAAP Historical Legal Vehicle</v>
      </c>
      <c r="B28">
        <v>42</v>
      </c>
      <c r="G28">
        <f>IS!$145:$145</f>
        <v>1</v>
      </c>
      <c r="H28">
        <v>43</v>
      </c>
      <c r="S28">
        <f>'ISP 1'!$116:$116</f>
        <v>7438.4606199999998</v>
      </c>
      <c r="T28">
        <v>47</v>
      </c>
      <c r="AE28">
        <f>CNO!$79:$79</f>
        <v>0</v>
      </c>
      <c r="AF28">
        <v>49</v>
      </c>
    </row>
    <row r="29" spans="1:40">
      <c r="A29" t="str">
        <f>BS!$126:$126</f>
        <v>GAAP Historical Legal Vehicle</v>
      </c>
      <c r="B29">
        <v>43</v>
      </c>
      <c r="G29">
        <f>IS!$151:$151</f>
        <v>1</v>
      </c>
      <c r="H29">
        <v>44</v>
      </c>
      <c r="S29">
        <f>'ISP 1'!$122:$122</f>
        <v>3583.1480180902636</v>
      </c>
      <c r="T29">
        <v>48</v>
      </c>
    </row>
    <row r="30" spans="1:40">
      <c r="A30" t="str">
        <f>BS!$129:$129</f>
        <v>GAAP Historical Legal Vehicle</v>
      </c>
      <c r="B30">
        <v>44</v>
      </c>
      <c r="G30">
        <f>IS!$152:$152</f>
        <v>1</v>
      </c>
      <c r="H30">
        <v>45</v>
      </c>
      <c r="S30">
        <f>'ISP 1'!$133:$133</f>
        <v>-24118.351420000003</v>
      </c>
      <c r="T30">
        <v>49</v>
      </c>
    </row>
    <row r="31" spans="1:40">
      <c r="A31" t="str">
        <f>BS!$133:$133</f>
        <v>GAAP Historical Legal Vehicle</v>
      </c>
      <c r="B31">
        <v>45</v>
      </c>
      <c r="G31">
        <f>IS!$141:$141</f>
        <v>-1</v>
      </c>
      <c r="H31">
        <v>46</v>
      </c>
      <c r="S31">
        <f>'ISP 1'!$134:$134</f>
        <v>-197598.41666312199</v>
      </c>
      <c r="T31">
        <v>50</v>
      </c>
    </row>
    <row r="32" spans="1:40">
      <c r="A32" t="str">
        <f>BS!$139:$139</f>
        <v>GAAP Historical Legal Vehicle</v>
      </c>
      <c r="B32">
        <v>46</v>
      </c>
      <c r="G32">
        <f>IS!$140:$140</f>
        <v>-1</v>
      </c>
      <c r="H32">
        <v>47</v>
      </c>
      <c r="S32">
        <f>'ISP 1'!$135:$135</f>
        <v>0</v>
      </c>
      <c r="T32">
        <v>51</v>
      </c>
    </row>
    <row r="33" spans="1:20">
      <c r="A33" t="str">
        <f>BS!$142:$142</f>
        <v>GAAP Historical Legal Vehicle</v>
      </c>
      <c r="B33">
        <v>47</v>
      </c>
      <c r="G33">
        <f>IS!$139:$139</f>
        <v>-1</v>
      </c>
      <c r="H33">
        <v>49</v>
      </c>
      <c r="S33">
        <f>'ISP 1'!$136:$136</f>
        <v>-135509.10549501408</v>
      </c>
      <c r="T33">
        <v>52</v>
      </c>
    </row>
    <row r="34" spans="1:20">
      <c r="A34" t="str">
        <f>BS!$145:$145</f>
        <v>GAAP Historical Legal Vehicle</v>
      </c>
      <c r="B34">
        <v>48</v>
      </c>
      <c r="G34">
        <f>IS!$131:$131</f>
        <v>-1</v>
      </c>
      <c r="H34">
        <v>50</v>
      </c>
      <c r="S34">
        <f>'ISP 1'!$142:$142</f>
        <v>100677.2724867955</v>
      </c>
      <c r="T34">
        <v>53</v>
      </c>
    </row>
    <row r="35" spans="1:20">
      <c r="A35" t="str">
        <f>BS!$148:$148</f>
        <v>GAAP Historical Legal Vehicle</v>
      </c>
      <c r="B35">
        <v>49</v>
      </c>
      <c r="G35">
        <f>IS!$165:$165</f>
        <v>0</v>
      </c>
      <c r="H35">
        <v>51</v>
      </c>
      <c r="S35">
        <f>'ISP 1'!$143:$143</f>
        <v>0</v>
      </c>
      <c r="T35">
        <v>54</v>
      </c>
    </row>
    <row r="36" spans="1:20">
      <c r="A36" t="str">
        <f>BS!$153:$153</f>
        <v>GAAP Historical Legal Vehicle</v>
      </c>
      <c r="B36">
        <v>50</v>
      </c>
      <c r="G36">
        <f>IS!$166:$166</f>
        <v>0</v>
      </c>
      <c r="H36">
        <v>52</v>
      </c>
      <c r="S36">
        <f>'ISP 1'!$144:$144</f>
        <v>95815.970654571458</v>
      </c>
      <c r="T36">
        <v>55</v>
      </c>
    </row>
    <row r="37" spans="1:20">
      <c r="A37" t="str">
        <f>BS!$166:$166</f>
        <v>GAAP Historical Legal Vehicle</v>
      </c>
      <c r="B37">
        <v>51</v>
      </c>
      <c r="G37">
        <f>IS!$99:$99</f>
        <v>0</v>
      </c>
      <c r="H37">
        <v>53</v>
      </c>
      <c r="S37">
        <f>'ISP 1'!$150:$150</f>
        <v>-104215.60940615163</v>
      </c>
      <c r="T37">
        <v>56</v>
      </c>
    </row>
    <row r="38" spans="1:20">
      <c r="A38" t="str">
        <f>BS!$162:$162</f>
        <v>GAAP Historical Legal Vehicle</v>
      </c>
      <c r="B38">
        <v>52</v>
      </c>
      <c r="G38">
        <f>IS!$148:$148</f>
        <v>-1</v>
      </c>
      <c r="H38">
        <v>54</v>
      </c>
    </row>
    <row r="39" spans="1:20">
      <c r="A39" t="str">
        <f>BS!$156:$156</f>
        <v>GAAP Historical Legal Vehicle</v>
      </c>
      <c r="B39">
        <v>53</v>
      </c>
      <c r="G39">
        <f>IS!$134:$134</f>
        <v>-1</v>
      </c>
      <c r="H39">
        <v>55</v>
      </c>
    </row>
    <row r="40" spans="1:20">
      <c r="A40" t="str">
        <f>BS!$159:$159</f>
        <v>GAAP Historical Legal Vehicle</v>
      </c>
      <c r="B40">
        <v>54</v>
      </c>
      <c r="G40">
        <f>IS!$135:$135</f>
        <v>-1</v>
      </c>
      <c r="H40">
        <v>56</v>
      </c>
    </row>
    <row r="41" spans="1:20">
      <c r="A41" t="str">
        <f>BS!$173:$173</f>
        <v>GAAP Historical Legal Vehicle</v>
      </c>
      <c r="B41">
        <v>56</v>
      </c>
      <c r="G41">
        <f>IS!$136:$136</f>
        <v>0</v>
      </c>
      <c r="H41">
        <v>57</v>
      </c>
    </row>
    <row r="42" spans="1:20">
      <c r="A42" t="str">
        <f>BS!$176:$176</f>
        <v>GAAP Historical Legal Vehicle</v>
      </c>
      <c r="B42">
        <v>57</v>
      </c>
    </row>
    <row r="43" spans="1:20">
      <c r="A43" t="str">
        <f>BS!$179:$179</f>
        <v>GAAP Historical Legal Vehicle</v>
      </c>
      <c r="B43">
        <v>58</v>
      </c>
    </row>
    <row r="44" spans="1:20">
      <c r="A44" t="str">
        <f>BS!$150:$150</f>
        <v>GAAP Historical Legal Vehicle</v>
      </c>
      <c r="B44">
        <v>59</v>
      </c>
    </row>
    <row r="45" spans="1:20">
      <c r="A45" t="str">
        <f>BS!$149:$149</f>
        <v>GAAP Historical Legal Vehicle</v>
      </c>
      <c r="B45">
        <v>60</v>
      </c>
    </row>
    <row r="46" spans="1:20">
      <c r="A46" t="str">
        <f>BS!$117:$117</f>
        <v>GAAP Historical Legal Vehicle</v>
      </c>
      <c r="B46">
        <v>64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1068-8989-4E4E-934A-E55C7412BD5F}">
  <sheetPr>
    <pageSetUpPr fitToPage="1"/>
  </sheetPr>
  <dimension ref="A1:BX134"/>
  <sheetViews>
    <sheetView zoomScale="90" zoomScaleNormal="90" workbookViewId="0">
      <pane xSplit="13" ySplit="4" topLeftCell="N5" activePane="bottomRight" state="frozen"/>
      <selection activeCell="K26" sqref="K26"/>
      <selection pane="topRight" activeCell="K26" sqref="K26"/>
      <selection pane="bottomLeft" activeCell="K26" sqref="K26"/>
      <selection pane="bottomRight"/>
    </sheetView>
  </sheetViews>
  <sheetFormatPr defaultColWidth="9.109375" defaultRowHeight="13.8"/>
  <cols>
    <col min="1" max="6" width="9.109375" style="145"/>
    <col min="7" max="7" width="4.109375" style="892" customWidth="1"/>
    <col min="8" max="12" width="4.109375" style="146" customWidth="1"/>
    <col min="13" max="13" width="32.109375" style="146" customWidth="1"/>
    <col min="14" max="18" width="11" style="146" bestFit="1" customWidth="1"/>
    <col min="19" max="21" width="11" style="294" bestFit="1" customWidth="1"/>
    <col min="22" max="23" width="0.88671875" style="146" customWidth="1"/>
    <col min="24" max="24" width="10.5546875" style="146" bestFit="1" customWidth="1"/>
    <col min="25" max="25" width="9.44140625" style="641" customWidth="1"/>
    <col min="26" max="27" width="0.88671875" style="146" customWidth="1"/>
    <col min="28" max="29" width="12.6640625" style="146" bestFit="1" customWidth="1"/>
    <col min="30" max="31" width="0.88671875" style="146" customWidth="1"/>
    <col min="32" max="32" width="10.5546875" style="146" bestFit="1" customWidth="1"/>
    <col min="33" max="33" width="9.44140625" style="641" bestFit="1" customWidth="1"/>
    <col min="34" max="34" width="4.109375" style="146" customWidth="1"/>
    <col min="35" max="35" width="9.109375" style="146"/>
    <col min="36" max="36" width="13.88671875" style="146" bestFit="1" customWidth="1"/>
    <col min="37" max="16384" width="9.109375" style="146"/>
  </cols>
  <sheetData>
    <row r="1" spans="1:39" s="667" customFormat="1" ht="39.9" customHeight="1" thickBot="1">
      <c r="A1" s="666" t="str">
        <f>+Manual!A1</f>
        <v>Q2
2025</v>
      </c>
      <c r="B1" s="666" t="str">
        <f>+Manual!D1</f>
        <v>Q2
2026</v>
      </c>
      <c r="C1" s="666"/>
      <c r="D1" s="666"/>
      <c r="E1" s="666"/>
      <c r="F1" s="666"/>
      <c r="G1" s="961"/>
      <c r="H1" s="1143" t="s">
        <v>674</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U2" s="683"/>
      <c r="Y2" s="684"/>
      <c r="AG2" s="684"/>
      <c r="AH2" s="661"/>
    </row>
    <row r="3" spans="1:39" s="654" customFormat="1" ht="14.4">
      <c r="A3" s="656"/>
      <c r="B3" s="656"/>
      <c r="C3" s="656"/>
      <c r="D3" s="656"/>
      <c r="E3" s="656"/>
      <c r="F3" s="656"/>
      <c r="G3" s="892"/>
      <c r="H3" s="146"/>
      <c r="I3" s="146"/>
      <c r="J3" s="146"/>
      <c r="K3" s="146"/>
      <c r="L3" s="146"/>
      <c r="M3" s="146"/>
      <c r="N3" s="701"/>
      <c r="O3" s="701"/>
      <c r="P3" s="701"/>
      <c r="Q3" s="701"/>
      <c r="R3" s="701"/>
      <c r="S3" s="701"/>
      <c r="T3" s="701"/>
      <c r="U3" s="701"/>
      <c r="V3" s="703"/>
      <c r="W3" s="655"/>
      <c r="X3" s="1145" t="str">
        <f>+_xlfn.CONCAT("YOY ",LEFT(Manual!$D$1,2))</f>
        <v>YOY Q2</v>
      </c>
      <c r="Y3" s="1145"/>
      <c r="Z3" s="705"/>
      <c r="AA3" s="655"/>
      <c r="AB3" s="655"/>
      <c r="AC3" s="655"/>
      <c r="AD3" s="703"/>
      <c r="AE3" s="655"/>
      <c r="AF3" s="1145" t="s">
        <v>153</v>
      </c>
      <c r="AG3" s="1145"/>
      <c r="AH3" s="661"/>
    </row>
    <row r="4" spans="1:39" s="654" customFormat="1" ht="28.2">
      <c r="A4" s="656"/>
      <c r="B4" s="656"/>
      <c r="C4" s="656"/>
      <c r="D4" s="656"/>
      <c r="E4" s="656"/>
      <c r="F4" s="656"/>
      <c r="G4" s="1144" t="s">
        <v>0</v>
      </c>
      <c r="H4" s="1144"/>
      <c r="I4" s="1144"/>
      <c r="J4" s="1144"/>
      <c r="K4" s="1144"/>
      <c r="L4" s="1144"/>
      <c r="M4" s="1144"/>
      <c r="N4" s="663" t="str">
        <f>+IS!N4</f>
        <v>Q1
2025</v>
      </c>
      <c r="O4" s="662" t="str">
        <f>+IS!O4</f>
        <v>Q2
2025</v>
      </c>
      <c r="P4" s="662" t="str">
        <f>+IS!P4</f>
        <v>Q3
2025</v>
      </c>
      <c r="Q4" s="662" t="str">
        <f>+IS!Q4</f>
        <v>Q4
2025</v>
      </c>
      <c r="R4" s="663" t="str">
        <f>+IS!R4</f>
        <v>Q1
2026</v>
      </c>
      <c r="S4" s="662" t="str">
        <f>+IS!S4</f>
        <v>Q2
2026</v>
      </c>
      <c r="T4" s="662" t="str">
        <f>+IS!T4</f>
        <v>Q3
2026</v>
      </c>
      <c r="U4" s="662" t="str">
        <f>+IS!U4</f>
        <v>Q4
2026</v>
      </c>
      <c r="V4" s="703"/>
      <c r="W4" s="655"/>
      <c r="X4" s="687" t="s">
        <v>151</v>
      </c>
      <c r="Y4" s="687" t="s">
        <v>152</v>
      </c>
      <c r="Z4" s="705"/>
      <c r="AA4" s="655"/>
      <c r="AB4" s="662" t="str">
        <f>+_xlfn.CONCAT("YTD ",RIGHT(Q4,4))</f>
        <v>YTD 2025</v>
      </c>
      <c r="AC4" s="662" t="str">
        <f>+_xlfn.CONCAT("YTD ",RIGHT(U4,4))</f>
        <v>YTD 2026</v>
      </c>
      <c r="AD4" s="703"/>
      <c r="AE4" s="655"/>
      <c r="AF4" s="687" t="s">
        <v>151</v>
      </c>
      <c r="AG4" s="687" t="s">
        <v>152</v>
      </c>
      <c r="AH4" s="661"/>
    </row>
    <row r="5" spans="1:39" ht="14.4">
      <c r="G5" s="1135" t="s">
        <v>193</v>
      </c>
      <c r="H5" s="1139"/>
      <c r="I5" s="1139"/>
      <c r="J5" s="1139"/>
      <c r="K5" s="1139"/>
      <c r="L5" s="1139"/>
      <c r="M5" s="1139"/>
      <c r="N5" s="159"/>
      <c r="O5" s="147"/>
      <c r="P5" s="147"/>
      <c r="Q5" s="147"/>
      <c r="R5" s="159"/>
      <c r="V5" s="147"/>
      <c r="W5" s="159"/>
      <c r="X5" s="147"/>
      <c r="Y5" s="639"/>
      <c r="Z5" s="256"/>
      <c r="AA5" s="257"/>
      <c r="AB5" s="147"/>
      <c r="AC5" s="147"/>
      <c r="AD5" s="258"/>
      <c r="AE5" s="147"/>
      <c r="AF5" s="147"/>
      <c r="AG5" s="639"/>
      <c r="AH5"/>
    </row>
    <row r="6" spans="1:39" ht="14.4">
      <c r="G6" s="972"/>
      <c r="H6" s="1152" t="s">
        <v>94</v>
      </c>
      <c r="I6" s="1152"/>
      <c r="J6" s="1152"/>
      <c r="K6" s="1152"/>
      <c r="L6" s="1152"/>
      <c r="M6" s="1152"/>
      <c r="N6" s="300"/>
      <c r="O6" s="294"/>
      <c r="P6" s="294"/>
      <c r="Q6" s="294"/>
      <c r="R6" s="300"/>
      <c r="V6" s="258"/>
      <c r="W6" s="147"/>
      <c r="X6" s="294"/>
      <c r="Y6" s="652"/>
      <c r="Z6" s="256"/>
      <c r="AA6" s="257"/>
      <c r="AB6" s="294"/>
      <c r="AC6" s="294"/>
      <c r="AD6" s="258"/>
      <c r="AE6" s="147"/>
      <c r="AF6" s="294"/>
      <c r="AG6" s="652"/>
      <c r="AH6"/>
    </row>
    <row r="7" spans="1:39" s="610" customFormat="1" ht="14.4">
      <c r="A7" s="600"/>
      <c r="B7" s="600"/>
      <c r="C7" s="600"/>
      <c r="D7" s="600"/>
      <c r="E7" s="600"/>
      <c r="F7" s="600"/>
      <c r="G7" s="972"/>
      <c r="H7" s="1164" t="s">
        <v>194</v>
      </c>
      <c r="I7" s="1164"/>
      <c r="J7" s="1164"/>
      <c r="K7" s="1164"/>
      <c r="L7" s="1164"/>
      <c r="M7" s="1164"/>
      <c r="N7" s="602">
        <f t="shared" ref="N7:S8" si="0">+SUMIF($H$62:$H$304,$H7,N$62:N$304)*SUMIF($H$62:$H$304,$H7,$G$62:$G$304)</f>
        <v>854430.45268567174</v>
      </c>
      <c r="O7" s="601">
        <f t="shared" si="0"/>
        <v>861919.09492307692</v>
      </c>
      <c r="P7" s="601">
        <f t="shared" si="0"/>
        <v>864046.9180198072</v>
      </c>
      <c r="Q7" s="601">
        <f t="shared" si="0"/>
        <v>865138.27004663984</v>
      </c>
      <c r="R7" s="602">
        <f t="shared" si="0"/>
        <v>867202.30091844825</v>
      </c>
      <c r="S7" s="601">
        <f t="shared" si="0"/>
        <v>873604.31205804646</v>
      </c>
      <c r="T7" s="601"/>
      <c r="U7" s="601"/>
      <c r="V7" s="707"/>
      <c r="W7" s="605"/>
      <c r="X7" s="601">
        <f t="shared" ref="X7:X13" si="1">+SUMIF($N$4:$U$4,$B$1,$N7:$U7)-SUMIF($N$4:$U$4,$A$1,$N7:$U7)</f>
        <v>11685.217134969542</v>
      </c>
      <c r="Y7" s="902">
        <f t="shared" ref="Y7:Y13" si="2">IF(OR(ABS(IF(X7&lt;0,-ABS(X7/SUMIF($N$4:$U$4,$A$1,$N7:$U7)),ABS(X7/SUMIF($N$4:$U$4,$A$1,$N7:$U7))))&lt;minvar,ABS(IF(X7&lt;0,-ABS(X7/SUMIF($N$4:$U$4,$A$1,$N7:$U7)),ABS(X7/SUMIF($N$4:$U$4,$A$1,$N7:$U7))))&gt;maxvar)=TRUE,"nm",IF(X7&lt;0,-ABS(X7/SUMIF($N$4:$U$4,$A$1,$N7:$U7)),ABS(X7/SUMIF($N$4:$U$4,$A$1,$N7:$U7))))</f>
        <v>1.35572087958121E-2</v>
      </c>
      <c r="Z7" s="708"/>
      <c r="AA7" s="605"/>
      <c r="AB7" s="601">
        <f t="shared" ref="AB7:AB13" si="3">+SUMIF($N$67:$Q$67,"Yes",$N7:$Q7)</f>
        <v>1716349.5476087485</v>
      </c>
      <c r="AC7" s="601">
        <f t="shared" ref="AC7:AC13" si="4">+SUMIF($R$67:$U$67,"Yes",$R7:$U7)</f>
        <v>1740806.6129764947</v>
      </c>
      <c r="AD7" s="707"/>
      <c r="AE7" s="605"/>
      <c r="AF7" s="601">
        <f>+$AC7-$AB7</f>
        <v>24457.065367746167</v>
      </c>
      <c r="AG7" s="902">
        <f t="shared" ref="AG7:AG13" si="5">IF(OR(ABS(IF(AF7&lt;0,-ABS(AF7/$AB7),ABS(AF7/$AB7)))&lt;minvar,ABS(IF(AF7&lt;0,-ABS(AF7/$AB7),ABS(AF7/$AB7)))&gt;maxvar)=TRUE,"nm",IF(AF7&lt;0,-ABS(AF7/$AB7),ABS(AF7/$AB7)))</f>
        <v>1.4249466492312259E-2</v>
      </c>
      <c r="AH7" s="609"/>
    </row>
    <row r="8" spans="1:39" s="636" customFormat="1" ht="14.4">
      <c r="A8" s="626"/>
      <c r="B8" s="626"/>
      <c r="C8" s="626"/>
      <c r="D8" s="626"/>
      <c r="E8" s="626"/>
      <c r="F8" s="626"/>
      <c r="G8" s="972"/>
      <c r="H8" s="1165" t="s">
        <v>195</v>
      </c>
      <c r="I8" s="1164"/>
      <c r="J8" s="1164"/>
      <c r="K8" s="1164"/>
      <c r="L8" s="1164"/>
      <c r="M8" s="1164"/>
      <c r="N8" s="630">
        <f t="shared" si="0"/>
        <v>-191477.10753027844</v>
      </c>
      <c r="O8" s="629">
        <f t="shared" si="0"/>
        <v>-187988.117010138</v>
      </c>
      <c r="P8" s="629">
        <f t="shared" si="0"/>
        <v>-185391.85790959059</v>
      </c>
      <c r="Q8" s="629">
        <f t="shared" si="0"/>
        <v>-183123.43464625214</v>
      </c>
      <c r="R8" s="630">
        <f t="shared" si="0"/>
        <v>-179574.82698573361</v>
      </c>
      <c r="S8" s="629">
        <f t="shared" si="0"/>
        <v>-176766.37789732899</v>
      </c>
      <c r="T8" s="629"/>
      <c r="U8" s="629"/>
      <c r="V8" s="711"/>
      <c r="W8" s="634"/>
      <c r="X8" s="629">
        <f t="shared" si="1"/>
        <v>11221.739112809009</v>
      </c>
      <c r="Y8" s="902">
        <f t="shared" si="2"/>
        <v>5.9693874758072252E-2</v>
      </c>
      <c r="Z8" s="712"/>
      <c r="AA8" s="634"/>
      <c r="AB8" s="629">
        <f t="shared" si="3"/>
        <v>-379465.22454041644</v>
      </c>
      <c r="AC8" s="629">
        <f t="shared" si="4"/>
        <v>-356341.20488306263</v>
      </c>
      <c r="AD8" s="711"/>
      <c r="AE8" s="634"/>
      <c r="AF8" s="629">
        <f t="shared" ref="AF8:AF13" si="6">+$AC8-$AB8</f>
        <v>23124.019657353812</v>
      </c>
      <c r="AG8" s="902">
        <f t="shared" si="5"/>
        <v>6.0938442212616767E-2</v>
      </c>
      <c r="AH8" s="635"/>
      <c r="AJ8" s="610"/>
      <c r="AK8" s="610"/>
      <c r="AL8" s="610"/>
      <c r="AM8" s="610"/>
    </row>
    <row r="9" spans="1:39" s="636" customFormat="1" ht="14.4">
      <c r="A9" s="626"/>
      <c r="B9" s="626"/>
      <c r="C9" s="626"/>
      <c r="D9" s="626"/>
      <c r="E9" s="626"/>
      <c r="F9" s="626"/>
      <c r="G9" s="972"/>
      <c r="H9" s="1162" t="s">
        <v>710</v>
      </c>
      <c r="I9" s="1163"/>
      <c r="J9" s="1163"/>
      <c r="K9" s="1163"/>
      <c r="L9" s="1163"/>
      <c r="M9" s="1163"/>
      <c r="N9" s="674">
        <f t="shared" ref="N9:Q9" si="7">+SUM(N7:N8)</f>
        <v>662953.34515539324</v>
      </c>
      <c r="O9" s="673">
        <f t="shared" si="7"/>
        <v>673930.97791293892</v>
      </c>
      <c r="P9" s="673">
        <f t="shared" si="7"/>
        <v>678655.06011021661</v>
      </c>
      <c r="Q9" s="673">
        <f t="shared" si="7"/>
        <v>682014.83540038764</v>
      </c>
      <c r="R9" s="674">
        <f t="shared" ref="R9:S9" si="8">+SUM(R7:R8)</f>
        <v>687627.47393271467</v>
      </c>
      <c r="S9" s="673">
        <f t="shared" si="8"/>
        <v>696837.93416071753</v>
      </c>
      <c r="T9" s="673"/>
      <c r="U9" s="673"/>
      <c r="V9" s="711"/>
      <c r="W9" s="634"/>
      <c r="X9" s="673">
        <f t="shared" si="1"/>
        <v>22906.956247778609</v>
      </c>
      <c r="Y9" s="904">
        <f t="shared" si="2"/>
        <v>3.3990062778710584E-2</v>
      </c>
      <c r="Z9" s="712"/>
      <c r="AA9" s="634"/>
      <c r="AB9" s="673">
        <f t="shared" si="3"/>
        <v>1336884.3230683322</v>
      </c>
      <c r="AC9" s="673">
        <f t="shared" si="4"/>
        <v>1384465.4080934322</v>
      </c>
      <c r="AD9" s="711"/>
      <c r="AE9" s="634"/>
      <c r="AF9" s="673">
        <f t="shared" si="6"/>
        <v>47581.085025100037</v>
      </c>
      <c r="AG9" s="904">
        <f t="shared" si="5"/>
        <v>3.5591026242191952E-2</v>
      </c>
      <c r="AH9" s="635"/>
      <c r="AJ9" s="610"/>
      <c r="AK9" s="610"/>
      <c r="AL9" s="610"/>
      <c r="AM9" s="610"/>
    </row>
    <row r="10" spans="1:39" s="636" customFormat="1" ht="14.4">
      <c r="A10" s="626"/>
      <c r="B10" s="626"/>
      <c r="C10" s="626"/>
      <c r="D10" s="626"/>
      <c r="E10" s="626"/>
      <c r="F10" s="626"/>
      <c r="G10" s="972"/>
      <c r="H10" s="1165" t="s">
        <v>196</v>
      </c>
      <c r="I10" s="1164"/>
      <c r="J10" s="1164"/>
      <c r="K10" s="1164"/>
      <c r="L10" s="1164"/>
      <c r="M10" s="1164"/>
      <c r="N10" s="630">
        <f t="shared" ref="N10:S10" si="9">+SUMIF($H$62:$H$304,$H10,N$62:N$304)*SUMIF($H$62:$H$304,$H10,$G$62:$G$304)</f>
        <v>-217856.99024264986</v>
      </c>
      <c r="O10" s="629">
        <f t="shared" si="9"/>
        <v>-244318.22531117749</v>
      </c>
      <c r="P10" s="629">
        <f t="shared" si="9"/>
        <v>-227543.3182254713</v>
      </c>
      <c r="Q10" s="629">
        <f t="shared" si="9"/>
        <v>-236149.33098429051</v>
      </c>
      <c r="R10" s="630">
        <f t="shared" si="9"/>
        <v>-234268.51997312615</v>
      </c>
      <c r="S10" s="629">
        <f t="shared" si="9"/>
        <v>-264475.14431909972</v>
      </c>
      <c r="T10" s="629"/>
      <c r="U10" s="629"/>
      <c r="V10" s="711"/>
      <c r="W10" s="634"/>
      <c r="X10" s="632">
        <f t="shared" si="1"/>
        <v>-20156.919007922232</v>
      </c>
      <c r="Y10" s="935">
        <f t="shared" si="2"/>
        <v>-8.250272357802714E-2</v>
      </c>
      <c r="Z10" s="712"/>
      <c r="AA10" s="634"/>
      <c r="AB10" s="629">
        <f t="shared" si="3"/>
        <v>-462175.21555382735</v>
      </c>
      <c r="AC10" s="629">
        <f t="shared" si="4"/>
        <v>-498743.66429222585</v>
      </c>
      <c r="AD10" s="711"/>
      <c r="AE10" s="634"/>
      <c r="AF10" s="632">
        <f t="shared" si="6"/>
        <v>-36568.448738398496</v>
      </c>
      <c r="AG10" s="935">
        <f t="shared" si="5"/>
        <v>-7.9122478894889034E-2</v>
      </c>
      <c r="AH10" s="635"/>
      <c r="AJ10" s="610"/>
      <c r="AK10" s="610"/>
      <c r="AL10" s="610"/>
      <c r="AM10" s="610"/>
    </row>
    <row r="11" spans="1:39" s="636" customFormat="1" ht="14.4">
      <c r="A11" s="626"/>
      <c r="B11" s="626"/>
      <c r="C11" s="626"/>
      <c r="D11" s="626"/>
      <c r="E11" s="626"/>
      <c r="F11" s="626"/>
      <c r="G11" s="972"/>
      <c r="H11" s="1163" t="s">
        <v>97</v>
      </c>
      <c r="I11" s="1163"/>
      <c r="J11" s="1163"/>
      <c r="K11" s="1163"/>
      <c r="L11" s="1163"/>
      <c r="M11" s="1163"/>
      <c r="N11" s="674">
        <f t="shared" ref="N11:Q11" si="10">+SUM(N9:N10)</f>
        <v>445096.35491274338</v>
      </c>
      <c r="O11" s="673">
        <f t="shared" si="10"/>
        <v>429612.75260176143</v>
      </c>
      <c r="P11" s="673">
        <f t="shared" si="10"/>
        <v>451111.74188474531</v>
      </c>
      <c r="Q11" s="673">
        <f t="shared" si="10"/>
        <v>445865.50441609713</v>
      </c>
      <c r="R11" s="674">
        <f t="shared" ref="R11:S11" si="11">+SUM(R9:R10)</f>
        <v>453358.95395958854</v>
      </c>
      <c r="S11" s="673">
        <f t="shared" si="11"/>
        <v>432362.78984161781</v>
      </c>
      <c r="T11" s="673"/>
      <c r="U11" s="673"/>
      <c r="V11" s="631"/>
      <c r="W11" s="634"/>
      <c r="X11" s="629">
        <f t="shared" si="1"/>
        <v>2750.0372398563777</v>
      </c>
      <c r="Y11" s="902">
        <f t="shared" si="2"/>
        <v>6.4012002046074795E-3</v>
      </c>
      <c r="Z11" s="713"/>
      <c r="AA11" s="634"/>
      <c r="AB11" s="673">
        <f t="shared" si="3"/>
        <v>874709.10751450481</v>
      </c>
      <c r="AC11" s="673">
        <f t="shared" si="4"/>
        <v>885721.74380120635</v>
      </c>
      <c r="AD11" s="631"/>
      <c r="AE11" s="634"/>
      <c r="AF11" s="629">
        <f t="shared" si="6"/>
        <v>11012.636286701541</v>
      </c>
      <c r="AG11" s="902">
        <f t="shared" si="5"/>
        <v>1.2590055587730261E-2</v>
      </c>
      <c r="AH11" s="635"/>
      <c r="AJ11" s="610"/>
      <c r="AK11" s="610"/>
      <c r="AL11" s="610"/>
      <c r="AM11" s="610"/>
    </row>
    <row r="12" spans="1:39" s="636" customFormat="1" ht="14.4">
      <c r="A12" s="626"/>
      <c r="B12" s="626"/>
      <c r="C12" s="626"/>
      <c r="D12" s="626"/>
      <c r="E12" s="626"/>
      <c r="F12" s="626"/>
      <c r="G12" s="972"/>
      <c r="H12" s="1164" t="s">
        <v>35</v>
      </c>
      <c r="I12" s="1164"/>
      <c r="J12" s="1164"/>
      <c r="K12" s="1164"/>
      <c r="L12" s="1164"/>
      <c r="M12" s="1164"/>
      <c r="N12" s="630">
        <f t="shared" ref="N12:S12" si="12">+SUMIF($H$62:$H$304,$H12,N$62:N$304)*SUMIF($H$62:$H$304,$H12,$G$62:$G$304)</f>
        <v>12745.291920734368</v>
      </c>
      <c r="O12" s="629">
        <f t="shared" si="12"/>
        <v>12221.159168442047</v>
      </c>
      <c r="P12" s="629">
        <f t="shared" si="12"/>
        <v>12188.881605497316</v>
      </c>
      <c r="Q12" s="629">
        <f t="shared" si="12"/>
        <v>10966.8317753463</v>
      </c>
      <c r="R12" s="630">
        <f t="shared" si="12"/>
        <v>11274.648711903899</v>
      </c>
      <c r="S12" s="629">
        <f t="shared" si="12"/>
        <v>11243.431991798083</v>
      </c>
      <c r="T12" s="629"/>
      <c r="U12" s="629"/>
      <c r="V12" s="631"/>
      <c r="W12" s="634"/>
      <c r="X12" s="629">
        <f t="shared" si="1"/>
        <v>-977.72717664396441</v>
      </c>
      <c r="Y12" s="902">
        <f t="shared" si="2"/>
        <v>-8.0002818322560565E-2</v>
      </c>
      <c r="Z12" s="713"/>
      <c r="AA12" s="634"/>
      <c r="AB12" s="629">
        <f t="shared" si="3"/>
        <v>24966.451089176415</v>
      </c>
      <c r="AC12" s="629">
        <f t="shared" si="4"/>
        <v>22518.080703701984</v>
      </c>
      <c r="AD12" s="631"/>
      <c r="AE12" s="634"/>
      <c r="AF12" s="629">
        <f t="shared" si="6"/>
        <v>-2448.3703854744308</v>
      </c>
      <c r="AG12" s="902">
        <f t="shared" si="5"/>
        <v>-9.8066416277156065E-2</v>
      </c>
      <c r="AH12" s="635"/>
      <c r="AJ12" s="610"/>
      <c r="AK12" s="610"/>
      <c r="AL12" s="610"/>
      <c r="AM12" s="610"/>
    </row>
    <row r="13" spans="1:39" s="636" customFormat="1" ht="14.4">
      <c r="A13" s="626"/>
      <c r="B13" s="626"/>
      <c r="C13" s="626"/>
      <c r="D13" s="626"/>
      <c r="E13" s="626"/>
      <c r="F13" s="626"/>
      <c r="G13" s="972"/>
      <c r="H13" s="1163" t="s">
        <v>197</v>
      </c>
      <c r="I13" s="1163"/>
      <c r="J13" s="1163"/>
      <c r="K13" s="1163"/>
      <c r="L13" s="1163"/>
      <c r="M13" s="1163"/>
      <c r="N13" s="677">
        <f t="shared" ref="N13:Q13" si="13">+SUM(N11:N12)</f>
        <v>457841.64683347777</v>
      </c>
      <c r="O13" s="676">
        <f t="shared" si="13"/>
        <v>441833.9117702035</v>
      </c>
      <c r="P13" s="676">
        <f t="shared" si="13"/>
        <v>463300.62349024264</v>
      </c>
      <c r="Q13" s="676">
        <f t="shared" si="13"/>
        <v>456832.33619144344</v>
      </c>
      <c r="R13" s="677">
        <f t="shared" ref="R13:S13" si="14">+SUM(R11:R12)</f>
        <v>464633.60267149244</v>
      </c>
      <c r="S13" s="676">
        <f t="shared" si="14"/>
        <v>443606.22183341591</v>
      </c>
      <c r="T13" s="676"/>
      <c r="U13" s="676"/>
      <c r="V13" s="631"/>
      <c r="W13" s="634"/>
      <c r="X13" s="676">
        <f t="shared" si="1"/>
        <v>1772.3100632124115</v>
      </c>
      <c r="Y13" s="927">
        <f t="shared" si="2"/>
        <v>4.0112585657168494E-3</v>
      </c>
      <c r="Z13" s="713"/>
      <c r="AA13" s="634"/>
      <c r="AB13" s="676">
        <f t="shared" si="3"/>
        <v>899675.55860368127</v>
      </c>
      <c r="AC13" s="676">
        <f t="shared" si="4"/>
        <v>908239.82450490841</v>
      </c>
      <c r="AD13" s="631"/>
      <c r="AE13" s="634"/>
      <c r="AF13" s="676">
        <f t="shared" si="6"/>
        <v>8564.2659012271324</v>
      </c>
      <c r="AG13" s="927">
        <f t="shared" si="5"/>
        <v>9.519282611744043E-3</v>
      </c>
      <c r="AH13" s="635"/>
      <c r="AJ13" s="610"/>
      <c r="AK13" s="610"/>
      <c r="AL13" s="610"/>
      <c r="AM13" s="610"/>
    </row>
    <row r="14" spans="1:39" s="636" customFormat="1" ht="14.4">
      <c r="A14" s="626"/>
      <c r="B14" s="626"/>
      <c r="C14" s="626"/>
      <c r="D14" s="626"/>
      <c r="E14" s="626"/>
      <c r="F14" s="626"/>
      <c r="G14" s="972"/>
      <c r="H14" s="983"/>
      <c r="I14" s="983"/>
      <c r="J14" s="983"/>
      <c r="K14" s="983"/>
      <c r="L14" s="983"/>
      <c r="M14" s="983"/>
      <c r="N14" s="630"/>
      <c r="O14" s="629"/>
      <c r="P14" s="629"/>
      <c r="Q14" s="629"/>
      <c r="R14" s="630"/>
      <c r="S14" s="629"/>
      <c r="T14" s="629"/>
      <c r="U14" s="629"/>
      <c r="V14" s="631"/>
      <c r="W14" s="634"/>
      <c r="X14" s="629"/>
      <c r="Y14" s="902"/>
      <c r="Z14" s="713"/>
      <c r="AA14" s="634"/>
      <c r="AB14" s="629"/>
      <c r="AC14" s="629"/>
      <c r="AD14" s="631"/>
      <c r="AE14" s="634"/>
      <c r="AF14" s="629"/>
      <c r="AG14" s="902"/>
      <c r="AH14" s="635"/>
      <c r="AJ14" s="610"/>
      <c r="AK14" s="610"/>
      <c r="AL14" s="610"/>
      <c r="AM14" s="610"/>
    </row>
    <row r="15" spans="1:39" s="636" customFormat="1" ht="14.4">
      <c r="A15" s="626"/>
      <c r="B15" s="626"/>
      <c r="C15" s="626"/>
      <c r="D15" s="626"/>
      <c r="E15" s="626"/>
      <c r="F15" s="626"/>
      <c r="G15" s="972"/>
      <c r="H15" s="1152" t="s">
        <v>102</v>
      </c>
      <c r="I15" s="1152"/>
      <c r="J15" s="1152"/>
      <c r="K15" s="1152"/>
      <c r="L15" s="1152"/>
      <c r="M15" s="1152"/>
      <c r="N15" s="630"/>
      <c r="O15" s="629"/>
      <c r="P15" s="629"/>
      <c r="Q15" s="629"/>
      <c r="R15" s="630"/>
      <c r="S15" s="629"/>
      <c r="T15" s="629"/>
      <c r="U15" s="629"/>
      <c r="V15" s="631"/>
      <c r="W15" s="634"/>
      <c r="X15" s="629"/>
      <c r="Y15" s="902"/>
      <c r="Z15" s="713"/>
      <c r="AA15" s="634"/>
      <c r="AB15" s="629"/>
      <c r="AC15" s="629"/>
      <c r="AD15" s="631"/>
      <c r="AE15" s="634"/>
      <c r="AF15" s="629"/>
      <c r="AG15" s="902"/>
      <c r="AH15" s="635"/>
      <c r="AJ15" s="610"/>
      <c r="AK15" s="610"/>
      <c r="AL15" s="610"/>
      <c r="AM15" s="610"/>
    </row>
    <row r="16" spans="1:39" s="636" customFormat="1" ht="14.4">
      <c r="A16" s="626"/>
      <c r="B16" s="626"/>
      <c r="C16" s="626"/>
      <c r="D16" s="626"/>
      <c r="E16" s="626"/>
      <c r="F16" s="626"/>
      <c r="G16" s="972"/>
      <c r="H16" s="1164" t="s">
        <v>103</v>
      </c>
      <c r="I16" s="1164"/>
      <c r="J16" s="1164"/>
      <c r="K16" s="1164"/>
      <c r="L16" s="1164"/>
      <c r="M16" s="1164"/>
      <c r="N16" s="630">
        <f t="shared" ref="N16:S20" si="15">+SUMIF($H$62:$H$304,$H16,N$62:N$304)*SUMIF($H$62:$H$304,$H16,$G$62:$G$304)</f>
        <v>171242.8919213606</v>
      </c>
      <c r="O16" s="629">
        <f t="shared" si="15"/>
        <v>148724.92502308579</v>
      </c>
      <c r="P16" s="629">
        <f t="shared" si="15"/>
        <v>168319.1123627261</v>
      </c>
      <c r="Q16" s="629">
        <f t="shared" si="15"/>
        <v>163257.26612405691</v>
      </c>
      <c r="R16" s="630">
        <f t="shared" si="15"/>
        <v>167251.64124367945</v>
      </c>
      <c r="S16" s="629">
        <f t="shared" si="15"/>
        <v>144173.59068420142</v>
      </c>
      <c r="T16" s="629"/>
      <c r="U16" s="629"/>
      <c r="V16" s="714"/>
      <c r="W16" s="634"/>
      <c r="X16" s="629">
        <f t="shared" ref="X16:X22" si="16">+SUMIF($N$4:$U$4,$B$1,$N16:$U16)-SUMIF($N$4:$U$4,$A$1,$N16:$U16)</f>
        <v>-4551.3343388843641</v>
      </c>
      <c r="Y16" s="902">
        <f t="shared" ref="Y16:Y22" si="17">IF(OR(ABS(IF(X16&lt;0,-ABS(X16/SUMIF($N$4:$U$4,$A$1,$N16:$U16)),ABS(X16/SUMIF($N$4:$U$4,$A$1,$N16:$U16))))&lt;minvar,ABS(IF(X16&lt;0,-ABS(X16/SUMIF($N$4:$U$4,$A$1,$N16:$U16)),ABS(X16/SUMIF($N$4:$U$4,$A$1,$N16:$U16))))&gt;maxvar)=TRUE,"nm",IF(X16&lt;0,-ABS(X16/SUMIF($N$4:$U$4,$A$1,$N16:$U16)),ABS(X16/SUMIF($N$4:$U$4,$A$1,$N16:$U16))))</f>
        <v>-3.0602364319080238E-2</v>
      </c>
      <c r="Z16" s="715"/>
      <c r="AA16" s="634"/>
      <c r="AB16" s="629">
        <f t="shared" ref="AB16:AB22" si="18">+SUMIF($N$67:$Q$67,"Yes",$N16:$Q16)</f>
        <v>319967.81694444641</v>
      </c>
      <c r="AC16" s="629">
        <f t="shared" ref="AC16:AC22" si="19">+SUMIF($R$67:$U$67,"Yes",$R16:$U16)</f>
        <v>311425.2319278809</v>
      </c>
      <c r="AD16" s="714"/>
      <c r="AE16" s="634"/>
      <c r="AF16" s="629">
        <f t="shared" ref="AF16:AF22" si="20">+$AC16-$AB16</f>
        <v>-8542.5850165655138</v>
      </c>
      <c r="AG16" s="902">
        <f t="shared" ref="AG16:AG22" si="21">IF(OR(ABS(IF(AF16&lt;0,-ABS(AF16/$AB16),ABS(AF16/$AB16)))&lt;minvar,ABS(IF(AF16&lt;0,-ABS(AF16/$AB16),ABS(AF16/$AB16)))&gt;maxvar)=TRUE,"nm",IF(AF16&lt;0,-ABS(AF16/$AB16),ABS(AF16/$AB16)))</f>
        <v>-2.6698263275799071E-2</v>
      </c>
      <c r="AH16" s="635"/>
      <c r="AJ16" s="610"/>
      <c r="AK16" s="610"/>
      <c r="AL16" s="610"/>
      <c r="AM16" s="610"/>
    </row>
    <row r="17" spans="1:39" s="636" customFormat="1" ht="14.4">
      <c r="A17" s="626"/>
      <c r="B17" s="626"/>
      <c r="C17" s="626"/>
      <c r="D17" s="626"/>
      <c r="E17" s="626"/>
      <c r="F17" s="626"/>
      <c r="G17" s="972"/>
      <c r="H17" s="1164" t="s">
        <v>750</v>
      </c>
      <c r="I17" s="1164"/>
      <c r="J17" s="1164"/>
      <c r="K17" s="1164"/>
      <c r="L17" s="1164"/>
      <c r="M17" s="1164"/>
      <c r="N17" s="630">
        <f t="shared" si="15"/>
        <v>-3401.7444525375499</v>
      </c>
      <c r="O17" s="629">
        <f t="shared" si="15"/>
        <v>-5743.1792067112201</v>
      </c>
      <c r="P17" s="629">
        <f t="shared" si="15"/>
        <v>-23391.654125330198</v>
      </c>
      <c r="Q17" s="629">
        <f t="shared" si="15"/>
        <v>-5189.5301335046506</v>
      </c>
      <c r="R17" s="630">
        <f t="shared" si="15"/>
        <v>-7563.7733304818694</v>
      </c>
      <c r="S17" s="629">
        <f t="shared" si="15"/>
        <v>-4858.2190177068505</v>
      </c>
      <c r="T17" s="629"/>
      <c r="U17" s="629"/>
      <c r="V17" s="714"/>
      <c r="W17" s="634"/>
      <c r="X17" s="629">
        <f t="shared" si="16"/>
        <v>884.96018900436957</v>
      </c>
      <c r="Y17" s="902">
        <f t="shared" si="17"/>
        <v>0.15408890392454497</v>
      </c>
      <c r="Z17" s="715"/>
      <c r="AA17" s="634"/>
      <c r="AB17" s="629">
        <f t="shared" si="18"/>
        <v>-9144.9236592487705</v>
      </c>
      <c r="AC17" s="629">
        <f t="shared" si="19"/>
        <v>-12421.99234818872</v>
      </c>
      <c r="AD17" s="714"/>
      <c r="AE17" s="634"/>
      <c r="AF17" s="629">
        <f t="shared" si="20"/>
        <v>-3277.0686889399494</v>
      </c>
      <c r="AG17" s="902">
        <f t="shared" ref="AG17" si="22">IF(OR(ABS(IF(AF17&lt;0,-ABS(AF17/$AB17),ABS(AF17/$AB17)))&lt;minvar,ABS(IF(AF17&lt;0,-ABS(AF17/$AB17),ABS(AF17/$AB17)))&gt;maxvar)=TRUE,"nm",IF(AF17&lt;0,-ABS(AF17/$AB17),ABS(AF17/$AB17)))</f>
        <v>-0.35834839207494829</v>
      </c>
      <c r="AH17" s="635"/>
      <c r="AJ17" s="610"/>
      <c r="AK17" s="610"/>
      <c r="AL17" s="610"/>
      <c r="AM17" s="610"/>
    </row>
    <row r="18" spans="1:39" s="636" customFormat="1" ht="14.4">
      <c r="A18" s="626"/>
      <c r="B18" s="626"/>
      <c r="C18" s="626"/>
      <c r="D18" s="626"/>
      <c r="E18" s="626"/>
      <c r="F18" s="626"/>
      <c r="G18" s="972"/>
      <c r="H18" s="1164" t="s">
        <v>104</v>
      </c>
      <c r="I18" s="1164"/>
      <c r="J18" s="1164"/>
      <c r="K18" s="1164"/>
      <c r="L18" s="1164"/>
      <c r="M18" s="1164"/>
      <c r="N18" s="630">
        <f t="shared" si="15"/>
        <v>76921.296470859059</v>
      </c>
      <c r="O18" s="629">
        <f t="shared" si="15"/>
        <v>78386.227681415825</v>
      </c>
      <c r="P18" s="629">
        <f t="shared" si="15"/>
        <v>79876.330710368988</v>
      </c>
      <c r="Q18" s="629">
        <f t="shared" si="15"/>
        <v>81226.682289560165</v>
      </c>
      <c r="R18" s="630">
        <f t="shared" si="15"/>
        <v>82666.235449583997</v>
      </c>
      <c r="S18" s="629">
        <f t="shared" si="15"/>
        <v>83567.470712706199</v>
      </c>
      <c r="T18" s="629"/>
      <c r="U18" s="629"/>
      <c r="V18" s="631"/>
      <c r="W18" s="634"/>
      <c r="X18" s="629">
        <f t="shared" si="16"/>
        <v>5181.2430312903743</v>
      </c>
      <c r="Y18" s="902">
        <f t="shared" si="17"/>
        <v>6.6098894978700043E-2</v>
      </c>
      <c r="Z18" s="713"/>
      <c r="AA18" s="634"/>
      <c r="AB18" s="629">
        <f t="shared" si="18"/>
        <v>155307.52415227488</v>
      </c>
      <c r="AC18" s="629">
        <f t="shared" si="19"/>
        <v>166233.70616229018</v>
      </c>
      <c r="AD18" s="631"/>
      <c r="AE18" s="634"/>
      <c r="AF18" s="629">
        <f t="shared" si="20"/>
        <v>10926.182010015298</v>
      </c>
      <c r="AG18" s="902">
        <f t="shared" si="21"/>
        <v>7.0351916751325377E-2</v>
      </c>
      <c r="AH18" s="635"/>
      <c r="AJ18" s="610"/>
      <c r="AK18" s="610"/>
      <c r="AL18" s="610"/>
      <c r="AM18" s="610"/>
    </row>
    <row r="19" spans="1:39" s="636" customFormat="1" ht="14.4">
      <c r="A19" s="626"/>
      <c r="B19" s="626"/>
      <c r="C19" s="626"/>
      <c r="D19" s="626"/>
      <c r="E19" s="626"/>
      <c r="F19" s="626"/>
      <c r="G19" s="972"/>
      <c r="H19" s="1164" t="s">
        <v>105</v>
      </c>
      <c r="I19" s="1164"/>
      <c r="J19" s="1164"/>
      <c r="K19" s="1164"/>
      <c r="L19" s="1164"/>
      <c r="M19" s="1164"/>
      <c r="N19" s="630">
        <f t="shared" si="15"/>
        <v>2648.7769112899045</v>
      </c>
      <c r="O19" s="629">
        <f t="shared" si="15"/>
        <v>2237.7812494720938</v>
      </c>
      <c r="P19" s="629">
        <f t="shared" si="15"/>
        <v>2754.7429131665635</v>
      </c>
      <c r="Q19" s="629">
        <f t="shared" si="15"/>
        <v>1993.4223401935612</v>
      </c>
      <c r="R19" s="630">
        <f t="shared" si="15"/>
        <v>2042.342495465208</v>
      </c>
      <c r="S19" s="629">
        <f t="shared" si="15"/>
        <v>2222.5005601480661</v>
      </c>
      <c r="T19" s="629"/>
      <c r="U19" s="629"/>
      <c r="V19" s="631"/>
      <c r="W19" s="634"/>
      <c r="X19" s="629">
        <f t="shared" si="16"/>
        <v>-15.280689324027662</v>
      </c>
      <c r="Y19" s="902">
        <f t="shared" si="17"/>
        <v>-6.8285000277093525E-3</v>
      </c>
      <c r="Z19" s="713"/>
      <c r="AA19" s="634"/>
      <c r="AB19" s="629">
        <f t="shared" si="18"/>
        <v>4886.5581607619988</v>
      </c>
      <c r="AC19" s="629">
        <f t="shared" si="19"/>
        <v>4264.8430556132744</v>
      </c>
      <c r="AD19" s="631"/>
      <c r="AE19" s="634"/>
      <c r="AF19" s="629">
        <f t="shared" si="20"/>
        <v>-621.71510514872443</v>
      </c>
      <c r="AG19" s="902">
        <f t="shared" si="21"/>
        <v>-0.12722965422594615</v>
      </c>
      <c r="AH19" s="635"/>
      <c r="AJ19" s="610"/>
      <c r="AK19" s="610"/>
      <c r="AL19" s="610"/>
      <c r="AM19" s="610"/>
    </row>
    <row r="20" spans="1:39" s="636" customFormat="1" ht="14.4">
      <c r="A20" s="626"/>
      <c r="B20" s="626"/>
      <c r="C20" s="626"/>
      <c r="D20" s="626"/>
      <c r="E20" s="626"/>
      <c r="F20" s="626"/>
      <c r="G20" s="972"/>
      <c r="H20" s="1164" t="s">
        <v>106</v>
      </c>
      <c r="I20" s="1164"/>
      <c r="J20" s="1164"/>
      <c r="K20" s="1164"/>
      <c r="L20" s="1164"/>
      <c r="M20" s="1164"/>
      <c r="N20" s="630">
        <f t="shared" si="15"/>
        <v>63645.157193525127</v>
      </c>
      <c r="O20" s="629">
        <f t="shared" si="15"/>
        <v>63215.720029533826</v>
      </c>
      <c r="P20" s="629">
        <f t="shared" si="15"/>
        <v>63057.811125424938</v>
      </c>
      <c r="Q20" s="629">
        <f t="shared" si="15"/>
        <v>68965.995964185466</v>
      </c>
      <c r="R20" s="630">
        <f t="shared" si="15"/>
        <v>65378.053446860686</v>
      </c>
      <c r="S20" s="629">
        <f t="shared" si="15"/>
        <v>70020.46758255914</v>
      </c>
      <c r="T20" s="629"/>
      <c r="U20" s="629"/>
      <c r="V20" s="631"/>
      <c r="W20" s="634"/>
      <c r="X20" s="629">
        <f t="shared" si="16"/>
        <v>6804.7475530253141</v>
      </c>
      <c r="Y20" s="902">
        <f t="shared" si="17"/>
        <v>0.10764328160536962</v>
      </c>
      <c r="Z20" s="713"/>
      <c r="AA20" s="634"/>
      <c r="AB20" s="629">
        <f t="shared" si="18"/>
        <v>126860.87722305895</v>
      </c>
      <c r="AC20" s="629">
        <f t="shared" si="19"/>
        <v>135398.52102941982</v>
      </c>
      <c r="AD20" s="631"/>
      <c r="AE20" s="634"/>
      <c r="AF20" s="629">
        <f t="shared" si="20"/>
        <v>8537.6438063608657</v>
      </c>
      <c r="AG20" s="902">
        <f t="shared" si="21"/>
        <v>6.7299265094542593E-2</v>
      </c>
      <c r="AH20" s="635"/>
      <c r="AJ20" s="610"/>
      <c r="AK20" s="610"/>
      <c r="AL20" s="610"/>
      <c r="AM20" s="610"/>
    </row>
    <row r="21" spans="1:39" s="636" customFormat="1" ht="14.4">
      <c r="A21" s="626"/>
      <c r="B21" s="626"/>
      <c r="C21" s="626"/>
      <c r="D21" s="626"/>
      <c r="E21" s="626"/>
      <c r="F21" s="626"/>
      <c r="G21" s="972"/>
      <c r="H21" s="1163" t="s">
        <v>198</v>
      </c>
      <c r="I21" s="1163"/>
      <c r="J21" s="1163"/>
      <c r="K21" s="1163"/>
      <c r="L21" s="1163"/>
      <c r="M21" s="1163"/>
      <c r="N21" s="677">
        <f t="shared" ref="N21:Q21" si="23">+SUM(N16:N20)</f>
        <v>311056.37804449711</v>
      </c>
      <c r="O21" s="676">
        <f t="shared" si="23"/>
        <v>286821.4747767963</v>
      </c>
      <c r="P21" s="676">
        <f t="shared" si="23"/>
        <v>290616.34298635641</v>
      </c>
      <c r="Q21" s="676">
        <f t="shared" si="23"/>
        <v>310253.83658449148</v>
      </c>
      <c r="R21" s="677">
        <f t="shared" ref="R21:S21" si="24">+SUM(R16:R20)</f>
        <v>309774.49930510746</v>
      </c>
      <c r="S21" s="676">
        <f t="shared" si="24"/>
        <v>295125.81052190799</v>
      </c>
      <c r="T21" s="676"/>
      <c r="U21" s="676"/>
      <c r="V21" s="631"/>
      <c r="W21" s="634"/>
      <c r="X21" s="676">
        <f t="shared" si="16"/>
        <v>8304.3357451116899</v>
      </c>
      <c r="Y21" s="927">
        <f t="shared" si="17"/>
        <v>2.8952977637305928E-2</v>
      </c>
      <c r="Z21" s="713"/>
      <c r="AA21" s="634"/>
      <c r="AB21" s="676">
        <f t="shared" si="18"/>
        <v>597877.8528212934</v>
      </c>
      <c r="AC21" s="676">
        <f t="shared" si="19"/>
        <v>604900.3098270155</v>
      </c>
      <c r="AD21" s="631"/>
      <c r="AE21" s="634"/>
      <c r="AF21" s="676">
        <f t="shared" si="20"/>
        <v>7022.457005722099</v>
      </c>
      <c r="AG21" s="927">
        <f t="shared" si="21"/>
        <v>1.1745638298164428E-2</v>
      </c>
      <c r="AH21" s="635"/>
      <c r="AJ21" s="610"/>
      <c r="AK21" s="610"/>
      <c r="AL21" s="610"/>
      <c r="AM21" s="610"/>
    </row>
    <row r="22" spans="1:39" s="610" customFormat="1" ht="15" thickBot="1">
      <c r="A22" s="600"/>
      <c r="B22" s="600"/>
      <c r="C22" s="600"/>
      <c r="D22" s="600"/>
      <c r="E22" s="600"/>
      <c r="F22" s="600"/>
      <c r="G22" s="972"/>
      <c r="H22" s="1163" t="s">
        <v>113</v>
      </c>
      <c r="I22" s="1163"/>
      <c r="J22" s="1163"/>
      <c r="K22" s="1163"/>
      <c r="L22" s="1163"/>
      <c r="M22" s="1163"/>
      <c r="N22" s="670">
        <f t="shared" ref="N22:Q22" si="25">+N13-N21</f>
        <v>146785.26878898067</v>
      </c>
      <c r="O22" s="669">
        <f t="shared" si="25"/>
        <v>155012.4369934072</v>
      </c>
      <c r="P22" s="669">
        <f t="shared" si="25"/>
        <v>172684.28050388623</v>
      </c>
      <c r="Q22" s="669">
        <f t="shared" si="25"/>
        <v>146578.49960695195</v>
      </c>
      <c r="R22" s="670">
        <f t="shared" ref="R22:S22" si="26">+R13-R21</f>
        <v>154859.10336638498</v>
      </c>
      <c r="S22" s="669">
        <f t="shared" si="26"/>
        <v>148480.41131150792</v>
      </c>
      <c r="T22" s="669"/>
      <c r="U22" s="669"/>
      <c r="V22" s="603"/>
      <c r="W22" s="605"/>
      <c r="X22" s="669">
        <f t="shared" si="16"/>
        <v>-6532.0256818992784</v>
      </c>
      <c r="Y22" s="905">
        <f t="shared" si="17"/>
        <v>-4.2138720018814302E-2</v>
      </c>
      <c r="Z22" s="709"/>
      <c r="AA22" s="605"/>
      <c r="AB22" s="669">
        <f t="shared" si="18"/>
        <v>301797.70578238787</v>
      </c>
      <c r="AC22" s="669">
        <f t="shared" si="19"/>
        <v>303339.5146778929</v>
      </c>
      <c r="AD22" s="603"/>
      <c r="AE22" s="605"/>
      <c r="AF22" s="669">
        <f t="shared" si="20"/>
        <v>1541.8088955050334</v>
      </c>
      <c r="AG22" s="905">
        <f t="shared" si="21"/>
        <v>5.1087495562897331E-3</v>
      </c>
      <c r="AH22" s="609"/>
      <c r="AI22" s="1025"/>
    </row>
    <row r="23" spans="1:39" ht="15" thickTop="1">
      <c r="G23" s="972"/>
      <c r="H23" s="147"/>
      <c r="I23" s="147"/>
      <c r="J23" s="147"/>
      <c r="K23" s="147"/>
      <c r="L23" s="147"/>
      <c r="M23" s="147"/>
      <c r="N23" s="335"/>
      <c r="O23" s="257"/>
      <c r="P23" s="257"/>
      <c r="Q23" s="257"/>
      <c r="R23" s="335"/>
      <c r="S23" s="257"/>
      <c r="T23" s="259"/>
      <c r="U23" s="259"/>
      <c r="V23" s="266"/>
      <c r="W23" s="257"/>
      <c r="X23" s="257"/>
      <c r="Y23" s="928"/>
      <c r="Z23" s="267"/>
      <c r="AA23" s="257"/>
      <c r="AB23" s="257"/>
      <c r="AC23" s="257"/>
      <c r="AD23" s="266"/>
      <c r="AE23" s="257"/>
      <c r="AF23" s="257"/>
      <c r="AG23" s="928"/>
      <c r="AH23"/>
      <c r="AJ23" s="610"/>
      <c r="AK23" s="610"/>
      <c r="AL23" s="610"/>
      <c r="AM23" s="610"/>
    </row>
    <row r="24" spans="1:39" ht="14.4">
      <c r="G24" s="1135" t="s">
        <v>199</v>
      </c>
      <c r="H24" s="1139"/>
      <c r="I24" s="1139"/>
      <c r="J24" s="1139"/>
      <c r="K24" s="1139"/>
      <c r="L24" s="1139"/>
      <c r="M24" s="1139"/>
      <c r="N24" s="320"/>
      <c r="O24" s="319"/>
      <c r="P24" s="319"/>
      <c r="Q24" s="319"/>
      <c r="R24" s="320"/>
      <c r="S24" s="319"/>
      <c r="T24" s="319"/>
      <c r="U24" s="319"/>
      <c r="V24" s="304"/>
      <c r="W24" s="257"/>
      <c r="X24" s="319"/>
      <c r="Y24" s="907"/>
      <c r="Z24" s="262"/>
      <c r="AA24" s="257"/>
      <c r="AB24" s="319"/>
      <c r="AC24" s="319"/>
      <c r="AD24" s="304"/>
      <c r="AE24" s="257"/>
      <c r="AF24" s="319"/>
      <c r="AG24" s="907"/>
      <c r="AH24"/>
      <c r="AJ24" s="610"/>
      <c r="AK24" s="610"/>
      <c r="AL24" s="610"/>
      <c r="AM24" s="610"/>
    </row>
    <row r="25" spans="1:39" s="610" customFormat="1" ht="14.4">
      <c r="A25" s="600"/>
      <c r="B25" s="600"/>
      <c r="C25" s="600"/>
      <c r="D25" s="600"/>
      <c r="E25" s="600"/>
      <c r="F25" s="600"/>
      <c r="G25" s="972"/>
      <c r="H25" s="1166" t="s">
        <v>200</v>
      </c>
      <c r="I25" s="1134"/>
      <c r="J25" s="1134"/>
      <c r="K25" s="1134"/>
      <c r="L25" s="1134"/>
      <c r="M25" s="1134"/>
      <c r="N25" s="602">
        <f t="shared" ref="N25:S26" si="27">+SUMIF($H$62:$H$304,$H25,N$62:N$304)*SUMIF($H$62:$H$304,$H25,$G$62:$G$304)</f>
        <v>538071.6033881061</v>
      </c>
      <c r="O25" s="601">
        <f t="shared" si="27"/>
        <v>547938.30167194235</v>
      </c>
      <c r="P25" s="601">
        <f t="shared" si="27"/>
        <v>551915.10442313517</v>
      </c>
      <c r="Q25" s="601">
        <f t="shared" si="27"/>
        <v>554372.18684586231</v>
      </c>
      <c r="R25" s="602">
        <f t="shared" si="27"/>
        <v>559528.53287165554</v>
      </c>
      <c r="S25" s="601">
        <f t="shared" si="27"/>
        <v>567668.8617603142</v>
      </c>
      <c r="T25" s="601"/>
      <c r="U25" s="601"/>
      <c r="V25" s="603"/>
      <c r="W25" s="605"/>
      <c r="X25" s="601">
        <f>+SUMIF($N$4:$U$4,$B$1,$N25:$U25)-SUMIF($N$4:$U$4,$A$1,$N25:$U25)</f>
        <v>19730.560088371858</v>
      </c>
      <c r="Y25" s="902">
        <f>IF(OR(ABS(IF(X25&lt;0,-ABS(X25/SUMIF($N$4:$U$4,$A$1,$N25:$U25)),ABS(X25/SUMIF($N$4:$U$4,$A$1,$N25:$U25))))&lt;minvar,ABS(IF(X25&lt;0,-ABS(X25/SUMIF($N$4:$U$4,$A$1,$N25:$U25)),ABS(X25/SUMIF($N$4:$U$4,$A$1,$N25:$U25))))&gt;maxvar)=TRUE,"nm",IF(X25&lt;0,-ABS(X25/SUMIF($N$4:$U$4,$A$1,$N25:$U25)),ABS(X25/SUMIF($N$4:$U$4,$A$1,$N25:$U25))))</f>
        <v>3.6008725851372943E-2</v>
      </c>
      <c r="Z25" s="710"/>
      <c r="AA25" s="605"/>
      <c r="AB25" s="601">
        <f t="shared" ref="AB25:AB27" si="28">+SUMIF($N$67:$Q$67,"Yes",$N25:$Q25)</f>
        <v>1086009.9050600484</v>
      </c>
      <c r="AC25" s="601">
        <f t="shared" ref="AC25:AC27" si="29">+SUMIF($R$67:$U$67,"Yes",$R25:$U25)</f>
        <v>1127197.3946319697</v>
      </c>
      <c r="AD25" s="603"/>
      <c r="AE25" s="605"/>
      <c r="AF25" s="601">
        <f t="shared" ref="AF25:AF27" si="30">+$AC25-$AB25</f>
        <v>41187.489571921295</v>
      </c>
      <c r="AG25" s="902">
        <f>IF(OR(ABS(IF(AF25&lt;0,-ABS(AF25/$AB25),ABS(AF25/$AB25)))&lt;minvar,ABS(IF(AF25&lt;0,-ABS(AF25/$AB25),ABS(AF25/$AB25)))&gt;maxvar)=TRUE,"nm",IF(AF25&lt;0,-ABS(AF25/$AB25),ABS(AF25/$AB25)))</f>
        <v>3.7925519260935216E-2</v>
      </c>
      <c r="AH25" s="609"/>
    </row>
    <row r="26" spans="1:39" s="636" customFormat="1" ht="14.4">
      <c r="A26" s="626"/>
      <c r="B26" s="626"/>
      <c r="C26" s="626"/>
      <c r="D26" s="626"/>
      <c r="E26" s="626"/>
      <c r="F26" s="626"/>
      <c r="G26" s="972"/>
      <c r="H26" s="1166" t="s">
        <v>201</v>
      </c>
      <c r="I26" s="1134"/>
      <c r="J26" s="1134"/>
      <c r="K26" s="1134"/>
      <c r="L26" s="1134"/>
      <c r="M26" s="1134"/>
      <c r="N26" s="630">
        <f t="shared" si="27"/>
        <v>316358.8492975657</v>
      </c>
      <c r="O26" s="629">
        <f t="shared" si="27"/>
        <v>313980.79325113457</v>
      </c>
      <c r="P26" s="629">
        <f t="shared" si="27"/>
        <v>312131.81359667203</v>
      </c>
      <c r="Q26" s="629">
        <f t="shared" si="27"/>
        <v>310766.08320077753</v>
      </c>
      <c r="R26" s="630">
        <f t="shared" si="27"/>
        <v>307673.76804679271</v>
      </c>
      <c r="S26" s="629">
        <f t="shared" si="27"/>
        <v>305935.45029773226</v>
      </c>
      <c r="T26" s="629"/>
      <c r="U26" s="629"/>
      <c r="V26" s="714"/>
      <c r="W26" s="634"/>
      <c r="X26" s="629">
        <f>+SUMIF($N$4:$U$4,$B$1,$N26:$U26)-SUMIF($N$4:$U$4,$A$1,$N26:$U26)</f>
        <v>-8045.3429534023162</v>
      </c>
      <c r="Y26" s="902">
        <f>IF(OR(ABS(IF(X26&lt;0,-ABS(X26/SUMIF($N$4:$U$4,$A$1,$N26:$U26)),ABS(X26/SUMIF($N$4:$U$4,$A$1,$N26:$U26))))&lt;minvar,ABS(IF(X26&lt;0,-ABS(X26/SUMIF($N$4:$U$4,$A$1,$N26:$U26)),ABS(X26/SUMIF($N$4:$U$4,$A$1,$N26:$U26))))&gt;maxvar)=TRUE,"nm",IF(X26&lt;0,-ABS(X26/SUMIF($N$4:$U$4,$A$1,$N26:$U26)),ABS(X26/SUMIF($N$4:$U$4,$A$1,$N26:$U26))))</f>
        <v>-2.5623678665488703E-2</v>
      </c>
      <c r="Z26" s="715"/>
      <c r="AA26" s="634"/>
      <c r="AB26" s="629">
        <f t="shared" si="28"/>
        <v>630339.64254870033</v>
      </c>
      <c r="AC26" s="629">
        <f t="shared" si="29"/>
        <v>613609.21834452497</v>
      </c>
      <c r="AD26" s="714"/>
      <c r="AE26" s="634"/>
      <c r="AF26" s="629">
        <f t="shared" si="30"/>
        <v>-16730.424204175361</v>
      </c>
      <c r="AG26" s="902">
        <f>IF(OR(ABS(IF(AF26&lt;0,-ABS(AF26/$AB26),ABS(AF26/$AB26)))&lt;minvar,ABS(IF(AF26&lt;0,-ABS(AF26/$AB26),ABS(AF26/$AB26)))&gt;maxvar)=TRUE,"nm",IF(AF26&lt;0,-ABS(AF26/$AB26),ABS(AF26/$AB26)))</f>
        <v>-2.6541919744295251E-2</v>
      </c>
      <c r="AH26" s="635"/>
      <c r="AJ26" s="610"/>
      <c r="AK26" s="610"/>
      <c r="AL26" s="610"/>
      <c r="AM26" s="610"/>
    </row>
    <row r="27" spans="1:39" s="610" customFormat="1" ht="15" thickBot="1">
      <c r="A27" s="600"/>
      <c r="B27" s="600"/>
      <c r="C27" s="600"/>
      <c r="D27" s="600"/>
      <c r="E27" s="600"/>
      <c r="F27" s="600"/>
      <c r="G27" s="972"/>
      <c r="H27" s="1163" t="s">
        <v>202</v>
      </c>
      <c r="I27" s="1163"/>
      <c r="J27" s="1163"/>
      <c r="K27" s="1163"/>
      <c r="L27" s="1163"/>
      <c r="M27" s="1163"/>
      <c r="N27" s="670">
        <f t="shared" ref="N27:Q27" si="31">+SUM(N25:N26)</f>
        <v>854430.45268567186</v>
      </c>
      <c r="O27" s="669">
        <f t="shared" si="31"/>
        <v>861919.09492307692</v>
      </c>
      <c r="P27" s="669">
        <f t="shared" si="31"/>
        <v>864046.9180198072</v>
      </c>
      <c r="Q27" s="669">
        <f t="shared" si="31"/>
        <v>865138.27004663984</v>
      </c>
      <c r="R27" s="670">
        <f t="shared" ref="R27:S27" si="32">+SUM(R25:R26)</f>
        <v>867202.30091844825</v>
      </c>
      <c r="S27" s="669">
        <f t="shared" si="32"/>
        <v>873604.31205804646</v>
      </c>
      <c r="T27" s="669"/>
      <c r="U27" s="669"/>
      <c r="V27" s="603"/>
      <c r="W27" s="605"/>
      <c r="X27" s="669">
        <f>+SUMIF($N$4:$U$4,$B$1,$N27:$U27)-SUMIF($N$4:$U$4,$A$1,$N27:$U27)</f>
        <v>11685.217134969542</v>
      </c>
      <c r="Y27" s="905">
        <f>IF(OR(ABS(IF(X27&lt;0,-ABS(X27/SUMIF($N$4:$U$4,$A$1,$N27:$U27)),ABS(X27/SUMIF($N$4:$U$4,$A$1,$N27:$U27))))&lt;minvar,ABS(IF(X27&lt;0,-ABS(X27/SUMIF($N$4:$U$4,$A$1,$N27:$U27)),ABS(X27/SUMIF($N$4:$U$4,$A$1,$N27:$U27))))&gt;maxvar)=TRUE,"nm",IF(X27&lt;0,-ABS(X27/SUMIF($N$4:$U$4,$A$1,$N27:$U27)),ABS(X27/SUMIF($N$4:$U$4,$A$1,$N27:$U27))))</f>
        <v>1.35572087958121E-2</v>
      </c>
      <c r="Z27" s="709"/>
      <c r="AA27" s="605"/>
      <c r="AB27" s="669">
        <f t="shared" si="28"/>
        <v>1716349.5476087488</v>
      </c>
      <c r="AC27" s="669">
        <f t="shared" si="29"/>
        <v>1740806.6129764947</v>
      </c>
      <c r="AD27" s="603"/>
      <c r="AE27" s="605"/>
      <c r="AF27" s="669">
        <f t="shared" si="30"/>
        <v>24457.065367745934</v>
      </c>
      <c r="AG27" s="905">
        <f>IF(OR(ABS(IF(AF27&lt;0,-ABS(AF27/$AB27),ABS(AF27/$AB27)))&lt;minvar,ABS(IF(AF27&lt;0,-ABS(AF27/$AB27),ABS(AF27/$AB27)))&gt;maxvar)=TRUE,"nm",IF(AF27&lt;0,-ABS(AF27/$AB27),ABS(AF27/$AB27)))</f>
        <v>1.4249466492312122E-2</v>
      </c>
      <c r="AH27" s="609"/>
    </row>
    <row r="28" spans="1:39" ht="15" thickTop="1">
      <c r="G28" s="972"/>
      <c r="H28" s="310"/>
      <c r="I28" s="147"/>
      <c r="J28" s="147"/>
      <c r="K28" s="147"/>
      <c r="L28" s="147"/>
      <c r="M28" s="147"/>
      <c r="N28" s="303"/>
      <c r="O28" s="175"/>
      <c r="P28" s="175"/>
      <c r="Q28" s="175"/>
      <c r="R28" s="303"/>
      <c r="S28" s="175"/>
      <c r="T28" s="175"/>
      <c r="U28" s="175"/>
      <c r="V28" s="333"/>
      <c r="W28" s="263"/>
      <c r="X28" s="175"/>
      <c r="Y28" s="909"/>
      <c r="Z28" s="262"/>
      <c r="AA28" s="257"/>
      <c r="AB28" s="175"/>
      <c r="AC28" s="175"/>
      <c r="AD28" s="333"/>
      <c r="AE28" s="263"/>
      <c r="AF28" s="175"/>
      <c r="AG28" s="909"/>
      <c r="AH28"/>
      <c r="AJ28" s="610"/>
      <c r="AK28" s="610"/>
      <c r="AL28" s="610"/>
      <c r="AM28" s="610"/>
    </row>
    <row r="29" spans="1:39" s="610" customFormat="1" ht="14.4">
      <c r="A29" s="600"/>
      <c r="B29" s="600"/>
      <c r="C29" s="600"/>
      <c r="D29" s="600"/>
      <c r="E29" s="600"/>
      <c r="F29" s="600"/>
      <c r="G29" s="972"/>
      <c r="H29" s="1134" t="s">
        <v>203</v>
      </c>
      <c r="I29" s="1134"/>
      <c r="J29" s="1134"/>
      <c r="K29" s="1134"/>
      <c r="L29" s="1134"/>
      <c r="M29" s="1134"/>
      <c r="N29" s="602">
        <f t="shared" ref="N29:Q29" si="33">-N8</f>
        <v>191477.10753027844</v>
      </c>
      <c r="O29" s="601">
        <f t="shared" si="33"/>
        <v>187988.117010138</v>
      </c>
      <c r="P29" s="601">
        <f t="shared" si="33"/>
        <v>185391.85790959059</v>
      </c>
      <c r="Q29" s="601">
        <f t="shared" si="33"/>
        <v>183123.43464625214</v>
      </c>
      <c r="R29" s="602">
        <f t="shared" ref="R29:S29" si="34">-R8</f>
        <v>179574.82698573361</v>
      </c>
      <c r="S29" s="601">
        <f t="shared" si="34"/>
        <v>176766.37789732899</v>
      </c>
      <c r="T29" s="601"/>
      <c r="U29" s="601"/>
      <c r="V29" s="707"/>
      <c r="W29" s="605"/>
      <c r="X29" s="601">
        <f>+SUMIF($N$4:$U$4,$B$1,$N29:$U29)-SUMIF($N$4:$U$4,$A$1,$N29:$U29)</f>
        <v>-11221.739112809009</v>
      </c>
      <c r="Y29" s="902">
        <f>IF(OR(ABS(IF(X29&lt;0,-ABS(X29/SUMIF($N$4:$U$4,$A$1,$N29:$U29)),ABS(X29/SUMIF($N$4:$U$4,$A$1,$N29:$U29))))&lt;minvar,ABS(IF(X29&lt;0,-ABS(X29/SUMIF($N$4:$U$4,$A$1,$N29:$U29)),ABS(X29/SUMIF($N$4:$U$4,$A$1,$N29:$U29))))&gt;maxvar)=TRUE,"nm",IF(X29&lt;0,-ABS(X29/SUMIF($N$4:$U$4,$A$1,$N29:$U29)),ABS(X29/SUMIF($N$4:$U$4,$A$1,$N29:$U29))))</f>
        <v>-5.9693874758072252E-2</v>
      </c>
      <c r="Z29" s="708"/>
      <c r="AA29" s="605"/>
      <c r="AB29" s="601">
        <f>+SUMIF($N$67:$Q$67,"Yes",$N29:$Q29)</f>
        <v>379465.22454041644</v>
      </c>
      <c r="AC29" s="601">
        <f>+SUMIF($R$67:$U$67,"Yes",$R29:$U29)</f>
        <v>356341.20488306263</v>
      </c>
      <c r="AD29" s="707"/>
      <c r="AE29" s="605"/>
      <c r="AF29" s="601">
        <f>+$AC29-$AB29</f>
        <v>-23124.019657353812</v>
      </c>
      <c r="AG29" s="902">
        <f>IF(OR(ABS(IF(AF29&lt;0,-ABS(AF29/$AB29),ABS(AF29/$AB29)))&lt;minvar,ABS(IF(AF29&lt;0,-ABS(AF29/$AB29),ABS(AF29/$AB29)))&gt;maxvar)=TRUE,"nm",IF(AF29&lt;0,-ABS(AF29/$AB29),ABS(AF29/$AB29)))</f>
        <v>-6.0938442212616767E-2</v>
      </c>
      <c r="AH29" s="609"/>
    </row>
    <row r="30" spans="1:39" s="640" customFormat="1" ht="14.4">
      <c r="A30" s="644"/>
      <c r="B30" s="644"/>
      <c r="C30" s="644"/>
      <c r="D30" s="644"/>
      <c r="E30" s="644"/>
      <c r="F30" s="644"/>
      <c r="G30" s="972"/>
      <c r="H30" s="1164" t="s">
        <v>204</v>
      </c>
      <c r="I30" s="1164"/>
      <c r="J30" s="1164"/>
      <c r="K30" s="1164"/>
      <c r="L30" s="1164"/>
      <c r="M30" s="1164"/>
      <c r="N30" s="932">
        <f t="shared" ref="N30:Q30" si="35">+N29/N26</f>
        <v>0.60525288910181851</v>
      </c>
      <c r="O30" s="926">
        <f t="shared" si="35"/>
        <v>0.59872489353123415</v>
      </c>
      <c r="P30" s="926">
        <f t="shared" si="35"/>
        <v>0.59395373952220309</v>
      </c>
      <c r="Q30" s="926">
        <f t="shared" si="35"/>
        <v>0.58926454508853543</v>
      </c>
      <c r="R30" s="932">
        <f t="shared" ref="R30:S30" si="36">+R29/R26</f>
        <v>0.58365335506413041</v>
      </c>
      <c r="S30" s="926">
        <f t="shared" si="36"/>
        <v>0.57778978449637775</v>
      </c>
      <c r="T30" s="926"/>
      <c r="U30" s="926"/>
      <c r="V30" s="960"/>
      <c r="W30" s="909"/>
      <c r="X30" s="902" t="s">
        <v>192</v>
      </c>
      <c r="Y30" s="902" t="s">
        <v>192</v>
      </c>
      <c r="Z30" s="934"/>
      <c r="AA30" s="909"/>
      <c r="AB30" s="926">
        <f t="shared" ref="AB30:AC30" si="37">+AB29/AB26</f>
        <v>0.60200120526466616</v>
      </c>
      <c r="AC30" s="926">
        <f t="shared" si="37"/>
        <v>0.58072987535038412</v>
      </c>
      <c r="AD30" s="960"/>
      <c r="AE30" s="909"/>
      <c r="AF30" s="902" t="s">
        <v>192</v>
      </c>
      <c r="AG30" s="902" t="s">
        <v>192</v>
      </c>
      <c r="AH30" s="651"/>
      <c r="AJ30" s="610"/>
      <c r="AK30" s="610"/>
      <c r="AL30" s="610"/>
      <c r="AM30" s="610"/>
    </row>
    <row r="31" spans="1:39" ht="14.4">
      <c r="G31" s="972"/>
      <c r="H31" s="310"/>
      <c r="I31" s="147"/>
      <c r="J31" s="147"/>
      <c r="K31" s="147"/>
      <c r="L31" s="147"/>
      <c r="M31" s="147"/>
      <c r="N31" s="303"/>
      <c r="O31" s="175"/>
      <c r="P31" s="175"/>
      <c r="Q31" s="175"/>
      <c r="R31" s="303"/>
      <c r="S31" s="175"/>
      <c r="T31" s="316"/>
      <c r="U31" s="316"/>
      <c r="V31" s="333"/>
      <c r="W31" s="263"/>
      <c r="X31" s="175"/>
      <c r="Y31" s="909"/>
      <c r="Z31" s="262"/>
      <c r="AA31" s="257"/>
      <c r="AB31" s="175"/>
      <c r="AC31" s="175"/>
      <c r="AD31" s="333"/>
      <c r="AE31" s="263"/>
      <c r="AF31" s="175"/>
      <c r="AG31" s="909"/>
      <c r="AH31"/>
      <c r="AJ31" s="610"/>
      <c r="AK31" s="610"/>
      <c r="AL31" s="610"/>
      <c r="AM31" s="610"/>
    </row>
    <row r="32" spans="1:39" s="610" customFormat="1" ht="14.4">
      <c r="A32" s="600"/>
      <c r="B32" s="600"/>
      <c r="C32" s="600"/>
      <c r="D32" s="600"/>
      <c r="E32" s="600"/>
      <c r="F32" s="600"/>
      <c r="G32" s="972"/>
      <c r="H32" s="1166" t="s">
        <v>205</v>
      </c>
      <c r="I32" s="1134"/>
      <c r="J32" s="1134"/>
      <c r="K32" s="1134"/>
      <c r="L32" s="1134"/>
      <c r="M32" s="1134"/>
      <c r="N32" s="602">
        <f t="shared" ref="N32:Q32" si="38">+N16+N17-N10</f>
        <v>385698.13771147293</v>
      </c>
      <c r="O32" s="601">
        <f t="shared" si="38"/>
        <v>387299.9711275521</v>
      </c>
      <c r="P32" s="601">
        <f t="shared" si="38"/>
        <v>372470.77646286722</v>
      </c>
      <c r="Q32" s="601">
        <f t="shared" si="38"/>
        <v>394217.0669748428</v>
      </c>
      <c r="R32" s="602">
        <f t="shared" ref="R32:S32" si="39">+R16+R17-R10</f>
        <v>393956.38788632373</v>
      </c>
      <c r="S32" s="601">
        <f t="shared" si="39"/>
        <v>403790.51598559431</v>
      </c>
      <c r="T32" s="601"/>
      <c r="U32" s="601"/>
      <c r="V32" s="707"/>
      <c r="W32" s="605"/>
      <c r="X32" s="601">
        <f>+SUMIF($N$4:$U$4,$B$1,$N32:$U32)-SUMIF($N$4:$U$4,$A$1,$N32:$U32)</f>
        <v>16490.544858042209</v>
      </c>
      <c r="Y32" s="902">
        <f>IF(OR(ABS(IF(X32&lt;0,-ABS(X32/SUMIF($N$4:$U$4,$A$1,$N32:$U32)),ABS(X32/SUMIF($N$4:$U$4,$A$1,$N32:$U32))))&lt;minvar,ABS(IF(X32&lt;0,-ABS(X32/SUMIF($N$4:$U$4,$A$1,$N32:$U32)),ABS(X32/SUMIF($N$4:$U$4,$A$1,$N32:$U32))))&gt;maxvar)=TRUE,"nm",IF(X32&lt;0,-ABS(X32/SUMIF($N$4:$U$4,$A$1,$N32:$U32)),ABS(X32/SUMIF($N$4:$U$4,$A$1,$N32:$U32))))</f>
        <v>4.2578223824889641E-2</v>
      </c>
      <c r="Z32" s="708"/>
      <c r="AA32" s="605"/>
      <c r="AB32" s="601">
        <f>+SUMIF($N$67:$Q$67,"Yes",$N32:$Q32)</f>
        <v>772998.10883902502</v>
      </c>
      <c r="AC32" s="601">
        <f>+SUMIF($R$67:$U$67,"Yes",$R32:$U32)</f>
        <v>797746.9038719181</v>
      </c>
      <c r="AD32" s="707"/>
      <c r="AE32" s="605"/>
      <c r="AF32" s="601">
        <f>+$AC32-$AB32</f>
        <v>24748.795032893075</v>
      </c>
      <c r="AG32" s="902">
        <f>IF(OR(ABS(IF(AF32&lt;0,-ABS(AF32/$AB32),ABS(AF32/$AB32)))&lt;minvar,ABS(IF(AF32&lt;0,-ABS(AF32/$AB32),ABS(AF32/$AB32)))&gt;maxvar)=TRUE,"nm",IF(AF32&lt;0,-ABS(AF32/$AB32),ABS(AF32/$AB32)))</f>
        <v>3.2016630765194988E-2</v>
      </c>
      <c r="AH32" s="609"/>
    </row>
    <row r="33" spans="1:76" s="640" customFormat="1" ht="14.4">
      <c r="A33" s="644"/>
      <c r="B33" s="644"/>
      <c r="C33" s="644"/>
      <c r="D33" s="644"/>
      <c r="E33" s="644"/>
      <c r="F33" s="644"/>
      <c r="G33" s="972"/>
      <c r="H33" s="1164" t="s">
        <v>206</v>
      </c>
      <c r="I33" s="1164"/>
      <c r="J33" s="1164"/>
      <c r="K33" s="1164"/>
      <c r="L33" s="1164"/>
      <c r="M33" s="1164"/>
      <c r="N33" s="932">
        <f t="shared" ref="N33:Q33" si="40">+N32/N$9</f>
        <v>0.58178775404031946</v>
      </c>
      <c r="O33" s="926">
        <f t="shared" si="40"/>
        <v>0.57468788914698776</v>
      </c>
      <c r="P33" s="926">
        <f t="shared" si="40"/>
        <v>0.54883665997034825</v>
      </c>
      <c r="Q33" s="926">
        <f t="shared" si="40"/>
        <v>0.57801831648341107</v>
      </c>
      <c r="R33" s="932">
        <f t="shared" ref="R33:S33" si="41">+R32/R$9</f>
        <v>0.57292124416319201</v>
      </c>
      <c r="S33" s="926">
        <f t="shared" si="41"/>
        <v>0.57946115759602823</v>
      </c>
      <c r="T33" s="926"/>
      <c r="U33" s="926"/>
      <c r="V33" s="960"/>
      <c r="W33" s="909"/>
      <c r="X33" s="902" t="s">
        <v>192</v>
      </c>
      <c r="Y33" s="902" t="s">
        <v>192</v>
      </c>
      <c r="Z33" s="934"/>
      <c r="AA33" s="909"/>
      <c r="AB33" s="926">
        <f t="shared" ref="AB33:AC33" si="42">+AB32/AB$9</f>
        <v>0.57820867183548741</v>
      </c>
      <c r="AC33" s="926">
        <f t="shared" si="42"/>
        <v>0.57621295498491876</v>
      </c>
      <c r="AD33" s="960"/>
      <c r="AE33" s="909"/>
      <c r="AF33" s="902" t="s">
        <v>192</v>
      </c>
      <c r="AG33" s="902" t="s">
        <v>192</v>
      </c>
      <c r="AH33" s="651"/>
      <c r="AJ33" s="610"/>
      <c r="AK33" s="610"/>
      <c r="AL33" s="610"/>
      <c r="AM33" s="610"/>
    </row>
    <row r="34" spans="1:76" ht="14.4">
      <c r="G34" s="972"/>
      <c r="H34" s="984"/>
      <c r="I34" s="147"/>
      <c r="J34" s="975"/>
      <c r="K34" s="147"/>
      <c r="L34" s="147"/>
      <c r="M34" s="147"/>
      <c r="N34" s="303"/>
      <c r="O34" s="175"/>
      <c r="P34" s="175"/>
      <c r="Q34" s="316"/>
      <c r="R34" s="317"/>
      <c r="S34" s="175"/>
      <c r="T34" s="316"/>
      <c r="U34" s="316"/>
      <c r="V34" s="333"/>
      <c r="W34" s="263"/>
      <c r="X34" s="175"/>
      <c r="Y34" s="909"/>
      <c r="Z34" s="262"/>
      <c r="AA34" s="257"/>
      <c r="AB34" s="175"/>
      <c r="AC34" s="316"/>
      <c r="AD34" s="333"/>
      <c r="AE34" s="263"/>
      <c r="AF34" s="316"/>
      <c r="AG34" s="909"/>
      <c r="AH34"/>
      <c r="AJ34" s="610"/>
      <c r="AK34" s="610"/>
      <c r="AL34" s="610"/>
      <c r="AM34" s="610"/>
    </row>
    <row r="35" spans="1:76" s="610" customFormat="1" ht="14.4">
      <c r="A35" s="600"/>
      <c r="B35" s="600"/>
      <c r="C35" s="600"/>
      <c r="D35" s="600"/>
      <c r="E35" s="600"/>
      <c r="F35" s="600"/>
      <c r="G35" s="972"/>
      <c r="H35" s="1134" t="s">
        <v>207</v>
      </c>
      <c r="I35" s="1134"/>
      <c r="J35" s="1134"/>
      <c r="K35" s="1134"/>
      <c r="L35" s="1134"/>
      <c r="M35" s="1134"/>
      <c r="N35" s="602">
        <f t="shared" ref="N35:Q35" si="43">+N18+N19</f>
        <v>79570.07338214897</v>
      </c>
      <c r="O35" s="601">
        <f t="shared" si="43"/>
        <v>80624.008930887925</v>
      </c>
      <c r="P35" s="601">
        <f t="shared" si="43"/>
        <v>82631.073623535558</v>
      </c>
      <c r="Q35" s="601">
        <f t="shared" si="43"/>
        <v>83220.104629753725</v>
      </c>
      <c r="R35" s="602">
        <f t="shared" ref="R35:S35" si="44">+R18+R19</f>
        <v>84708.577945049212</v>
      </c>
      <c r="S35" s="601">
        <f t="shared" si="44"/>
        <v>85789.971272854265</v>
      </c>
      <c r="T35" s="601"/>
      <c r="U35" s="601"/>
      <c r="V35" s="707"/>
      <c r="W35" s="605"/>
      <c r="X35" s="601">
        <f>+SUMIF($N$4:$U$4,$B$1,$N35:$U35)-SUMIF($N$4:$U$4,$A$1,$N35:$U35)</f>
        <v>5165.9623419663403</v>
      </c>
      <c r="Y35" s="902">
        <f>IF(OR(ABS(IF(X35&lt;0,-ABS(X35/SUMIF($N$4:$U$4,$A$1,$N35:$U35)),ABS(X35/SUMIF($N$4:$U$4,$A$1,$N35:$U35))))&lt;minvar,ABS(IF(X35&lt;0,-ABS(X35/SUMIF($N$4:$U$4,$A$1,$N35:$U35)),ABS(X35/SUMIF($N$4:$U$4,$A$1,$N35:$U35))))&gt;maxvar)=TRUE,"nm",IF(X35&lt;0,-ABS(X35/SUMIF($N$4:$U$4,$A$1,$N35:$U35)),ABS(X35/SUMIF($N$4:$U$4,$A$1,$N35:$U35))))</f>
        <v>6.4074739156107688E-2</v>
      </c>
      <c r="Z35" s="708"/>
      <c r="AA35" s="605"/>
      <c r="AB35" s="601">
        <f>+SUMIF($N$67:$Q$67,"Yes",$N35:$Q35)</f>
        <v>160194.0823130369</v>
      </c>
      <c r="AC35" s="601">
        <f>+SUMIF($R$67:$U$67,"Yes",$R35:$U35)</f>
        <v>170498.54921790346</v>
      </c>
      <c r="AD35" s="707"/>
      <c r="AE35" s="605"/>
      <c r="AF35" s="601">
        <f>+$AC35-$AB35</f>
        <v>10304.466904866567</v>
      </c>
      <c r="AG35" s="902">
        <f>IF(OR(ABS(IF(AF35&lt;0,-ABS(AF35/$AB35),ABS(AF35/$AB35)))&lt;minvar,ABS(IF(AF35&lt;0,-ABS(AF35/$AB35),ABS(AF35/$AB35)))&gt;maxvar)=TRUE,"nm",IF(AF35&lt;0,-ABS(AF35/$AB35),ABS(AF35/$AB35)))</f>
        <v>6.4324891132560708E-2</v>
      </c>
      <c r="AH35" s="609"/>
    </row>
    <row r="36" spans="1:76" s="640" customFormat="1" ht="14.4">
      <c r="A36" s="644"/>
      <c r="B36" s="644"/>
      <c r="C36" s="644"/>
      <c r="D36" s="644"/>
      <c r="E36" s="644"/>
      <c r="F36" s="644"/>
      <c r="G36" s="972"/>
      <c r="H36" s="1164" t="s">
        <v>206</v>
      </c>
      <c r="I36" s="1164"/>
      <c r="J36" s="1164"/>
      <c r="K36" s="1164"/>
      <c r="L36" s="1164"/>
      <c r="M36" s="1164"/>
      <c r="N36" s="932">
        <f t="shared" ref="N36:Q36" si="45">+N35/N$9</f>
        <v>0.12002363961750297</v>
      </c>
      <c r="O36" s="926">
        <f t="shared" si="45"/>
        <v>0.11963244245066185</v>
      </c>
      <c r="P36" s="926">
        <f t="shared" si="45"/>
        <v>0.121757102363778</v>
      </c>
      <c r="Q36" s="926">
        <f t="shared" si="45"/>
        <v>0.12202095953073813</v>
      </c>
      <c r="R36" s="932">
        <f t="shared" ref="R36:S36" si="46">+R35/R$9</f>
        <v>0.12318963560396957</v>
      </c>
      <c r="S36" s="926">
        <f t="shared" si="46"/>
        <v>0.12311323346106444</v>
      </c>
      <c r="T36" s="926"/>
      <c r="U36" s="926"/>
      <c r="V36" s="960"/>
      <c r="W36" s="909"/>
      <c r="X36" s="902" t="s">
        <v>192</v>
      </c>
      <c r="Y36" s="902" t="s">
        <v>192</v>
      </c>
      <c r="Z36" s="934"/>
      <c r="AA36" s="909"/>
      <c r="AB36" s="926">
        <f t="shared" ref="AB36:AC36" si="47">+AB35/AB$9</f>
        <v>0.11982643490453204</v>
      </c>
      <c r="AC36" s="926">
        <f t="shared" si="47"/>
        <v>0.12315118039149822</v>
      </c>
      <c r="AD36" s="960"/>
      <c r="AE36" s="909"/>
      <c r="AF36" s="902" t="s">
        <v>192</v>
      </c>
      <c r="AG36" s="902" t="s">
        <v>192</v>
      </c>
      <c r="AH36" s="651"/>
      <c r="AJ36" s="610"/>
      <c r="AK36" s="610"/>
      <c r="AL36" s="610"/>
      <c r="AM36" s="610"/>
    </row>
    <row r="37" spans="1:76" ht="14.4">
      <c r="G37" s="972"/>
      <c r="H37" s="147"/>
      <c r="I37" s="147"/>
      <c r="J37" s="147"/>
      <c r="K37" s="147"/>
      <c r="L37" s="147"/>
      <c r="M37" s="147"/>
      <c r="N37" s="303"/>
      <c r="O37" s="175"/>
      <c r="P37" s="175"/>
      <c r="Q37" s="175"/>
      <c r="R37" s="303"/>
      <c r="S37" s="175"/>
      <c r="T37" s="175"/>
      <c r="U37" s="175"/>
      <c r="V37" s="333"/>
      <c r="W37" s="263"/>
      <c r="X37" s="175"/>
      <c r="Y37" s="909"/>
      <c r="Z37" s="262"/>
      <c r="AA37" s="257"/>
      <c r="AB37" s="175"/>
      <c r="AC37" s="175"/>
      <c r="AD37" s="333"/>
      <c r="AE37" s="263"/>
      <c r="AF37" s="175"/>
      <c r="AG37" s="909"/>
      <c r="AH37"/>
      <c r="AJ37" s="610"/>
      <c r="AK37" s="610"/>
      <c r="AL37" s="610"/>
      <c r="AM37" s="610"/>
    </row>
    <row r="38" spans="1:76" s="610" customFormat="1" ht="14.4">
      <c r="A38" s="600"/>
      <c r="B38" s="600"/>
      <c r="C38" s="600"/>
      <c r="D38" s="600"/>
      <c r="E38" s="600"/>
      <c r="F38" s="600"/>
      <c r="G38" s="972"/>
      <c r="H38" s="1166" t="s">
        <v>208</v>
      </c>
      <c r="I38" s="1134"/>
      <c r="J38" s="1134"/>
      <c r="K38" s="1134"/>
      <c r="L38" s="1134"/>
      <c r="M38" s="1134"/>
      <c r="N38" s="602">
        <f t="shared" ref="N38:Q38" si="48">+N20-N12</f>
        <v>50899.865272790761</v>
      </c>
      <c r="O38" s="601">
        <f t="shared" si="48"/>
        <v>50994.560861091777</v>
      </c>
      <c r="P38" s="601">
        <f t="shared" si="48"/>
        <v>50868.929519927624</v>
      </c>
      <c r="Q38" s="601">
        <f t="shared" si="48"/>
        <v>57999.164188839168</v>
      </c>
      <c r="R38" s="602">
        <f t="shared" ref="R38:S38" si="49">+R20-R12</f>
        <v>54103.404734956785</v>
      </c>
      <c r="S38" s="601">
        <f t="shared" si="49"/>
        <v>58777.035590761057</v>
      </c>
      <c r="T38" s="601"/>
      <c r="U38" s="601"/>
      <c r="V38" s="707"/>
      <c r="W38" s="605"/>
      <c r="X38" s="601">
        <f>+SUMIF($N$4:$U$4,$B$1,$N38:$U38)-SUMIF($N$4:$U$4,$A$1,$N38:$U38)</f>
        <v>7782.4747296692804</v>
      </c>
      <c r="Y38" s="902">
        <f>IF(OR(ABS(IF(X38&lt;0,-ABS(X38/SUMIF($N$4:$U$4,$A$1,$N38:$U38)),ABS(X38/SUMIF($N$4:$U$4,$A$1,$N38:$U38))))&lt;minvar,ABS(IF(X38&lt;0,-ABS(X38/SUMIF($N$4:$U$4,$A$1,$N38:$U38)),ABS(X38/SUMIF($N$4:$U$4,$A$1,$N38:$U38))))&gt;maxvar)=TRUE,"nm",IF(X38&lt;0,-ABS(X38/SUMIF($N$4:$U$4,$A$1,$N38:$U38)),ABS(X38/SUMIF($N$4:$U$4,$A$1,$N38:$U38))))</f>
        <v>0.15261381994971179</v>
      </c>
      <c r="Z38" s="708"/>
      <c r="AA38" s="605"/>
      <c r="AB38" s="601">
        <f>+SUMIF($N$67:$Q$67,"Yes",$N38:$Q38)</f>
        <v>101894.42613388255</v>
      </c>
      <c r="AC38" s="601">
        <f>+SUMIF($R$67:$U$67,"Yes",$R38:$U38)</f>
        <v>112880.44032571785</v>
      </c>
      <c r="AD38" s="707"/>
      <c r="AE38" s="605"/>
      <c r="AF38" s="601">
        <f>+$AC38-$AB38</f>
        <v>10986.014191835304</v>
      </c>
      <c r="AG38" s="902">
        <f>IF(OR(ABS(IF(AF38&lt;0,-ABS(AF38/$AB38),ABS(AF38/$AB38)))&lt;minvar,ABS(IF(AF38&lt;0,-ABS(AF38/$AB38),ABS(AF38/$AB38)))&gt;maxvar)=TRUE,"nm",IF(AF38&lt;0,-ABS(AF38/$AB38),ABS(AF38/$AB38)))</f>
        <v>0.10781761680860155</v>
      </c>
      <c r="AH38" s="609"/>
    </row>
    <row r="39" spans="1:76" s="640" customFormat="1" ht="14.4">
      <c r="A39" s="644"/>
      <c r="B39" s="644"/>
      <c r="C39" s="644"/>
      <c r="D39" s="644"/>
      <c r="E39" s="644"/>
      <c r="F39" s="644"/>
      <c r="G39" s="972"/>
      <c r="H39" s="1164" t="s">
        <v>206</v>
      </c>
      <c r="I39" s="1164"/>
      <c r="J39" s="1164"/>
      <c r="K39" s="1164"/>
      <c r="L39" s="1164"/>
      <c r="M39" s="1164"/>
      <c r="N39" s="932">
        <f t="shared" ref="N39:Q39" si="50">+N38/N$9</f>
        <v>7.6777446927068546E-2</v>
      </c>
      <c r="O39" s="926">
        <f t="shared" si="50"/>
        <v>7.5667334686133778E-2</v>
      </c>
      <c r="P39" s="926">
        <f t="shared" si="50"/>
        <v>7.4955500238466186E-2</v>
      </c>
      <c r="Q39" s="926">
        <f t="shared" si="50"/>
        <v>8.5040912863412768E-2</v>
      </c>
      <c r="R39" s="932">
        <f t="shared" ref="R39:S39" si="51">+R38/R$9</f>
        <v>7.8681272616298745E-2</v>
      </c>
      <c r="S39" s="926">
        <f t="shared" si="51"/>
        <v>8.4348214569508237E-2</v>
      </c>
      <c r="T39" s="926"/>
      <c r="U39" s="926"/>
      <c r="V39" s="960"/>
      <c r="W39" s="909"/>
      <c r="X39" s="902" t="s">
        <v>192</v>
      </c>
      <c r="Y39" s="902" t="s">
        <v>192</v>
      </c>
      <c r="Z39" s="934"/>
      <c r="AA39" s="909"/>
      <c r="AB39" s="926">
        <f>+AB38/AB$9</f>
        <v>7.6217833043341343E-2</v>
      </c>
      <c r="AC39" s="926">
        <f t="shared" ref="AC39" si="52">+AC38/AC$9</f>
        <v>8.1533593880953062E-2</v>
      </c>
      <c r="AD39" s="960"/>
      <c r="AE39" s="909"/>
      <c r="AF39" s="902" t="s">
        <v>192</v>
      </c>
      <c r="AG39" s="902" t="s">
        <v>192</v>
      </c>
      <c r="AH39" s="651"/>
      <c r="AJ39" s="610"/>
      <c r="AK39" s="610"/>
      <c r="AL39" s="610"/>
      <c r="AM39" s="610"/>
    </row>
    <row r="40" spans="1:76" ht="14.4">
      <c r="G40" s="972"/>
      <c r="H40" s="985"/>
      <c r="I40" s="147"/>
      <c r="J40" s="147"/>
      <c r="K40" s="147"/>
      <c r="L40" s="147"/>
      <c r="M40" s="147"/>
      <c r="N40" s="303"/>
      <c r="O40" s="175"/>
      <c r="P40" s="175"/>
      <c r="Q40" s="175"/>
      <c r="R40" s="303"/>
      <c r="S40" s="175"/>
      <c r="T40" s="175"/>
      <c r="U40" s="175"/>
      <c r="V40" s="266"/>
      <c r="W40" s="257"/>
      <c r="X40" s="175"/>
      <c r="Y40" s="902"/>
      <c r="Z40" s="267"/>
      <c r="AA40" s="257"/>
      <c r="AB40" s="175"/>
      <c r="AC40" s="175"/>
      <c r="AD40" s="266"/>
      <c r="AE40" s="257"/>
      <c r="AF40" s="175"/>
      <c r="AG40" s="902"/>
      <c r="AH40"/>
      <c r="AJ40" s="610"/>
      <c r="AK40" s="610"/>
      <c r="AL40" s="610"/>
      <c r="AM40" s="610"/>
    </row>
    <row r="41" spans="1:76" s="610" customFormat="1" ht="14.4">
      <c r="A41" s="600"/>
      <c r="B41" s="600"/>
      <c r="C41" s="600"/>
      <c r="D41" s="600"/>
      <c r="E41" s="600"/>
      <c r="F41" s="600"/>
      <c r="G41" s="972"/>
      <c r="H41" s="1134" t="s">
        <v>209</v>
      </c>
      <c r="I41" s="1134"/>
      <c r="J41" s="1134"/>
      <c r="K41" s="1134"/>
      <c r="L41" s="1134"/>
      <c r="M41" s="1134"/>
      <c r="N41" s="602">
        <f t="shared" ref="N41:Q41" si="53">+N22</f>
        <v>146785.26878898067</v>
      </c>
      <c r="O41" s="601">
        <f t="shared" si="53"/>
        <v>155012.4369934072</v>
      </c>
      <c r="P41" s="601">
        <f t="shared" si="53"/>
        <v>172684.28050388623</v>
      </c>
      <c r="Q41" s="601">
        <f t="shared" si="53"/>
        <v>146578.49960695195</v>
      </c>
      <c r="R41" s="602">
        <f t="shared" ref="R41:S41" si="54">+R22</f>
        <v>154859.10336638498</v>
      </c>
      <c r="S41" s="601">
        <f t="shared" si="54"/>
        <v>148480.41131150792</v>
      </c>
      <c r="T41" s="601"/>
      <c r="U41" s="601"/>
      <c r="V41" s="707"/>
      <c r="W41" s="605"/>
      <c r="X41" s="601">
        <f>+SUMIF($N$4:$U$4,$B$1,$N41:$U41)-SUMIF($N$4:$U$4,$A$1,$N41:$U41)</f>
        <v>-6532.0256818992784</v>
      </c>
      <c r="Y41" s="902">
        <f>IF(OR(ABS(IF(X41&lt;0,-ABS(X41/SUMIF($N$4:$U$4,$A$1,$N41:$U41)),ABS(X41/SUMIF($N$4:$U$4,$A$1,$N41:$U41))))&lt;minvar,ABS(IF(X41&lt;0,-ABS(X41/SUMIF($N$4:$U$4,$A$1,$N41:$U41)),ABS(X41/SUMIF($N$4:$U$4,$A$1,$N41:$U41))))&gt;maxvar)=TRUE,"nm",IF(X41&lt;0,-ABS(X41/SUMIF($N$4:$U$4,$A$1,$N41:$U41)),ABS(X41/SUMIF($N$4:$U$4,$A$1,$N41:$U41))))</f>
        <v>-4.2138720018814302E-2</v>
      </c>
      <c r="Z41" s="708"/>
      <c r="AA41" s="605"/>
      <c r="AB41" s="601">
        <f>+SUMIF($N$67:$Q$67,"Yes",$N41:$Q41)</f>
        <v>301797.70578238787</v>
      </c>
      <c r="AC41" s="601">
        <f>+SUMIF($R$67:$U$67,"Yes",$R41:$U41)</f>
        <v>303339.5146778929</v>
      </c>
      <c r="AD41" s="707"/>
      <c r="AE41" s="605"/>
      <c r="AF41" s="601">
        <f>+$AC41-$AB41</f>
        <v>1541.8088955050334</v>
      </c>
      <c r="AG41" s="902">
        <f>IF(OR(ABS(IF(AF41&lt;0,-ABS(AF41/$AB41),ABS(AF41/$AB41)))&lt;minvar,ABS(IF(AF41&lt;0,-ABS(AF41/$AB41),ABS(AF41/$AB41)))&gt;maxvar)=TRUE,"nm",IF(AF41&lt;0,-ABS(AF41/$AB41),ABS(AF41/$AB41)))</f>
        <v>5.1087495562897331E-3</v>
      </c>
      <c r="AH41" s="609"/>
    </row>
    <row r="42" spans="1:76" s="640" customFormat="1" ht="14.4">
      <c r="A42" s="644"/>
      <c r="B42" s="644"/>
      <c r="C42" s="644"/>
      <c r="D42" s="644"/>
      <c r="E42" s="644"/>
      <c r="F42" s="644"/>
      <c r="G42" s="972"/>
      <c r="H42" s="1165" t="s">
        <v>210</v>
      </c>
      <c r="I42" s="1164"/>
      <c r="J42" s="1164"/>
      <c r="K42" s="1164"/>
      <c r="L42" s="1164"/>
      <c r="M42" s="1164"/>
      <c r="N42" s="932">
        <f t="shared" ref="N42:Q42" si="55">+N41/N$9</f>
        <v>0.22141115941510917</v>
      </c>
      <c r="O42" s="926">
        <f t="shared" si="55"/>
        <v>0.23001233371621674</v>
      </c>
      <c r="P42" s="926">
        <f t="shared" si="55"/>
        <v>0.25445073742740759</v>
      </c>
      <c r="Q42" s="926">
        <f t="shared" si="55"/>
        <v>0.21491981112243799</v>
      </c>
      <c r="R42" s="932">
        <f t="shared" ref="R42:S42" si="56">+R41/R$9</f>
        <v>0.22520784761653978</v>
      </c>
      <c r="S42" s="926">
        <f t="shared" si="56"/>
        <v>0.21307739437339909</v>
      </c>
      <c r="T42" s="926"/>
      <c r="U42" s="926"/>
      <c r="V42" s="960"/>
      <c r="W42" s="909"/>
      <c r="X42" s="902" t="s">
        <v>192</v>
      </c>
      <c r="Y42" s="902" t="s">
        <v>192</v>
      </c>
      <c r="Z42" s="934"/>
      <c r="AA42" s="909"/>
      <c r="AB42" s="926">
        <f t="shared" ref="AB42:AC42" si="57">+AB41/AB$9</f>
        <v>0.22574706021663932</v>
      </c>
      <c r="AC42" s="926">
        <f t="shared" si="57"/>
        <v>0.21910227074263</v>
      </c>
      <c r="AD42" s="960"/>
      <c r="AE42" s="909"/>
      <c r="AF42" s="902" t="s">
        <v>192</v>
      </c>
      <c r="AG42" s="902" t="s">
        <v>192</v>
      </c>
      <c r="AH42" s="651"/>
      <c r="AJ42" s="610"/>
      <c r="AK42" s="610"/>
      <c r="AL42" s="610"/>
      <c r="AM42" s="610"/>
    </row>
    <row r="43" spans="1:76" ht="14.4">
      <c r="T43" s="1020"/>
      <c r="AH43"/>
    </row>
    <row r="44" spans="1:76" ht="14.4">
      <c r="G44" s="969"/>
      <c r="H44" s="160"/>
      <c r="I44" s="160"/>
      <c r="J44" s="160"/>
      <c r="K44" s="160"/>
      <c r="L44" s="160"/>
      <c r="M44" s="160"/>
      <c r="N44" s="160"/>
      <c r="O44" s="160"/>
      <c r="P44" s="160"/>
      <c r="Q44" s="160"/>
      <c r="R44" s="160"/>
      <c r="S44" s="417"/>
      <c r="T44" s="417"/>
      <c r="U44" s="417"/>
      <c r="V44" s="160"/>
      <c r="W44" s="160"/>
      <c r="X44" s="160"/>
      <c r="Y44" s="680"/>
      <c r="Z44" s="160"/>
      <c r="AA44" s="160"/>
      <c r="AB44" s="160"/>
      <c r="AC44" s="160"/>
      <c r="AD44" s="160"/>
      <c r="AE44" s="160"/>
      <c r="AF44" s="160"/>
      <c r="AG44" s="680"/>
      <c r="AH44"/>
    </row>
    <row r="45" spans="1:76" ht="14.4">
      <c r="AH45"/>
    </row>
    <row r="46" spans="1:76" ht="15" customHeight="1">
      <c r="G46" s="970" t="s">
        <v>42</v>
      </c>
      <c r="H46" s="1147" t="s">
        <v>762</v>
      </c>
      <c r="I46" s="1147"/>
      <c r="J46" s="1147"/>
      <c r="K46" s="1147"/>
      <c r="L46" s="1147"/>
      <c r="M46" s="1147"/>
      <c r="N46" s="1147"/>
      <c r="O46" s="1147"/>
      <c r="P46" s="1147"/>
      <c r="Q46" s="1147"/>
      <c r="R46" s="1147"/>
      <c r="S46" s="1147"/>
      <c r="T46" s="1147"/>
      <c r="U46" s="1147"/>
      <c r="V46" s="1147"/>
      <c r="W46" s="1147"/>
      <c r="X46" s="1147"/>
      <c r="Y46" s="1147"/>
      <c r="Z46" s="1147"/>
      <c r="AA46" s="1147"/>
      <c r="AB46" s="1147"/>
      <c r="AC46" s="1147"/>
      <c r="AD46" s="1147"/>
      <c r="AE46" s="1147"/>
      <c r="AF46" s="1147"/>
      <c r="AG46" s="1147"/>
      <c r="AH46" s="272"/>
      <c r="AI46" s="272"/>
      <c r="AJ46" s="272"/>
      <c r="AK46" s="272"/>
      <c r="AL46" s="272"/>
      <c r="AM46" s="272"/>
      <c r="AN46" s="272"/>
      <c r="AO46" s="272"/>
      <c r="AP46" s="272"/>
      <c r="AQ46" s="272"/>
      <c r="AR46" s="272"/>
      <c r="AS46" s="272"/>
      <c r="AT46" s="272"/>
      <c r="AU46" s="272"/>
      <c r="AV46" s="272"/>
      <c r="AW46" s="272"/>
      <c r="AX46" s="272"/>
      <c r="AY46" s="272"/>
      <c r="AZ46" s="272"/>
      <c r="BA46" s="272"/>
      <c r="BB46" s="272"/>
      <c r="BC46" s="272"/>
      <c r="BD46" s="272"/>
      <c r="BE46" s="272"/>
      <c r="BF46" s="272"/>
      <c r="BG46" s="272"/>
      <c r="BH46" s="272"/>
      <c r="BI46" s="272"/>
      <c r="BJ46" s="272"/>
      <c r="BK46" s="272"/>
      <c r="BL46" s="272"/>
      <c r="BM46" s="272"/>
      <c r="BN46" s="272"/>
      <c r="BO46" s="272"/>
      <c r="BP46" s="272"/>
      <c r="BQ46" s="272"/>
      <c r="BR46" s="272"/>
      <c r="BS46" s="272"/>
      <c r="BT46" s="272"/>
      <c r="BU46" s="272"/>
      <c r="BV46" s="272"/>
      <c r="BW46" s="272"/>
      <c r="BX46" s="272"/>
    </row>
    <row r="47" spans="1:76" ht="15" customHeight="1">
      <c r="G47" s="970" t="s">
        <v>44</v>
      </c>
      <c r="H47" s="1147" t="s">
        <v>763</v>
      </c>
      <c r="I47" s="1147"/>
      <c r="J47" s="1147"/>
      <c r="K47" s="1147"/>
      <c r="L47" s="1147"/>
      <c r="M47" s="1147"/>
      <c r="N47" s="1147"/>
      <c r="O47" s="1147"/>
      <c r="P47" s="1147"/>
      <c r="Q47" s="1147"/>
      <c r="R47" s="1147"/>
      <c r="S47" s="1147"/>
      <c r="T47" s="1147"/>
      <c r="U47" s="1147"/>
      <c r="V47" s="1147"/>
      <c r="W47" s="1147"/>
      <c r="X47" s="1147"/>
      <c r="Y47" s="1147"/>
      <c r="Z47" s="1147"/>
      <c r="AA47" s="1147"/>
      <c r="AB47" s="1147"/>
      <c r="AC47" s="1147"/>
      <c r="AD47" s="1147"/>
      <c r="AE47" s="1147"/>
      <c r="AF47" s="1147"/>
      <c r="AG47" s="1147"/>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272"/>
      <c r="BR47" s="272"/>
      <c r="BS47" s="272"/>
      <c r="BT47" s="272"/>
      <c r="BU47" s="272"/>
      <c r="BV47" s="272"/>
      <c r="BW47" s="272"/>
      <c r="BX47" s="147"/>
    </row>
    <row r="48" spans="1:76" ht="15" customHeight="1">
      <c r="G48" s="970" t="s">
        <v>211</v>
      </c>
      <c r="H48" s="1147" t="s">
        <v>764</v>
      </c>
      <c r="I48" s="1147"/>
      <c r="J48" s="1147"/>
      <c r="K48" s="1147"/>
      <c r="L48" s="1147"/>
      <c r="M48" s="1147"/>
      <c r="N48" s="1147"/>
      <c r="O48" s="1147"/>
      <c r="P48" s="1147"/>
      <c r="Q48" s="1147"/>
      <c r="R48" s="1147"/>
      <c r="S48" s="1147"/>
      <c r="T48" s="1147"/>
      <c r="U48" s="1147"/>
      <c r="V48" s="1147"/>
      <c r="W48" s="1147"/>
      <c r="X48" s="1147"/>
      <c r="Y48" s="1147"/>
      <c r="Z48" s="1147"/>
      <c r="AA48" s="1147"/>
      <c r="AB48" s="1147"/>
      <c r="AC48" s="1147"/>
      <c r="AD48" s="1147"/>
      <c r="AE48" s="1147"/>
      <c r="AF48" s="1147"/>
      <c r="AG48" s="1147"/>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272"/>
      <c r="BK48" s="272"/>
      <c r="BL48" s="272"/>
      <c r="BM48" s="272"/>
      <c r="BN48" s="272"/>
      <c r="BO48" s="272"/>
      <c r="BP48" s="272"/>
      <c r="BQ48" s="272"/>
      <c r="BR48" s="272"/>
      <c r="BS48" s="272"/>
      <c r="BT48" s="272"/>
      <c r="BU48" s="272"/>
      <c r="BV48" s="272"/>
      <c r="BW48" s="272"/>
      <c r="BX48" s="147"/>
    </row>
    <row r="49" spans="7:76" ht="15" customHeight="1">
      <c r="G49" s="970" t="s">
        <v>212</v>
      </c>
      <c r="H49" s="1147" t="s">
        <v>765</v>
      </c>
      <c r="I49" s="1147"/>
      <c r="J49" s="1147"/>
      <c r="K49" s="1147"/>
      <c r="L49" s="1147"/>
      <c r="M49" s="1147"/>
      <c r="N49" s="1147"/>
      <c r="O49" s="1147"/>
      <c r="P49" s="1147"/>
      <c r="Q49" s="1147"/>
      <c r="R49" s="1147"/>
      <c r="S49" s="1147"/>
      <c r="T49" s="1147"/>
      <c r="U49" s="1147"/>
      <c r="V49" s="1147"/>
      <c r="W49" s="1147"/>
      <c r="X49" s="1147"/>
      <c r="Y49" s="1147"/>
      <c r="Z49" s="1147"/>
      <c r="AA49" s="1147"/>
      <c r="AB49" s="1147"/>
      <c r="AC49" s="1147"/>
      <c r="AD49" s="1147"/>
      <c r="AE49" s="1147"/>
      <c r="AF49" s="1147"/>
      <c r="AG49" s="1147"/>
      <c r="AH49" s="272"/>
      <c r="AI49" s="272"/>
      <c r="AJ49" s="272"/>
      <c r="AK49" s="272"/>
      <c r="AL49" s="272"/>
      <c r="AM49" s="272"/>
      <c r="AN49" s="272"/>
      <c r="AO49" s="272"/>
      <c r="AP49" s="272"/>
      <c r="AQ49" s="272"/>
      <c r="AR49" s="272"/>
      <c r="AS49" s="272"/>
      <c r="AT49" s="272"/>
      <c r="AU49" s="272"/>
      <c r="AV49" s="272"/>
      <c r="AW49" s="272"/>
      <c r="AX49" s="272"/>
      <c r="AY49" s="272"/>
      <c r="AZ49" s="272"/>
      <c r="BA49" s="272"/>
      <c r="BB49" s="272"/>
      <c r="BC49" s="272"/>
      <c r="BD49" s="272"/>
      <c r="BE49" s="272"/>
      <c r="BF49" s="272"/>
      <c r="BG49" s="272"/>
      <c r="BH49" s="272"/>
      <c r="BI49" s="272"/>
      <c r="BJ49" s="272"/>
      <c r="BK49" s="272"/>
      <c r="BL49" s="272"/>
      <c r="BM49" s="272"/>
      <c r="BN49" s="272"/>
      <c r="BO49" s="272"/>
      <c r="BP49" s="272"/>
      <c r="BQ49" s="272"/>
      <c r="BR49" s="272"/>
      <c r="BS49" s="272"/>
      <c r="BT49" s="272"/>
      <c r="BU49" s="272"/>
      <c r="BV49" s="272"/>
      <c r="BW49" s="272"/>
      <c r="BX49" s="147"/>
    </row>
    <row r="50" spans="7:76" ht="15" customHeight="1">
      <c r="G50" s="970" t="s">
        <v>213</v>
      </c>
      <c r="H50" s="1147" t="s">
        <v>766</v>
      </c>
      <c r="I50" s="1147"/>
      <c r="J50" s="1147"/>
      <c r="K50" s="1147"/>
      <c r="L50" s="1147"/>
      <c r="M50" s="1147"/>
      <c r="N50" s="1147"/>
      <c r="O50" s="1147"/>
      <c r="P50" s="1147"/>
      <c r="Q50" s="1147"/>
      <c r="R50" s="1147"/>
      <c r="S50" s="1147"/>
      <c r="T50" s="1147"/>
      <c r="U50" s="1147"/>
      <c r="V50" s="1147"/>
      <c r="W50" s="1147"/>
      <c r="X50" s="1147"/>
      <c r="Y50" s="1147"/>
      <c r="Z50" s="1147"/>
      <c r="AA50" s="1147"/>
      <c r="AB50" s="1147"/>
      <c r="AC50" s="1147"/>
      <c r="AD50" s="1147"/>
      <c r="AE50" s="1147"/>
      <c r="AF50" s="1147"/>
      <c r="AG50" s="1147"/>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272"/>
      <c r="BJ50" s="272"/>
      <c r="BK50" s="272"/>
      <c r="BL50" s="272"/>
      <c r="BM50" s="272"/>
      <c r="BN50" s="272"/>
      <c r="BO50" s="272"/>
      <c r="BP50" s="272"/>
      <c r="BQ50" s="272"/>
      <c r="BR50" s="272"/>
      <c r="BS50" s="272"/>
      <c r="BT50" s="272"/>
      <c r="BU50" s="272"/>
      <c r="BV50" s="272"/>
      <c r="BW50" s="272"/>
      <c r="BX50" s="147"/>
    </row>
    <row r="51" spans="7:76" ht="15" customHeight="1">
      <c r="G51" s="970" t="s">
        <v>214</v>
      </c>
      <c r="H51" s="1147" t="s">
        <v>856</v>
      </c>
      <c r="I51" s="1147"/>
      <c r="J51" s="1147"/>
      <c r="K51" s="1147"/>
      <c r="L51" s="1147"/>
      <c r="M51" s="1147"/>
      <c r="N51" s="1147"/>
      <c r="O51" s="1147"/>
      <c r="P51" s="1147"/>
      <c r="Q51" s="1147"/>
      <c r="R51" s="1147"/>
      <c r="S51" s="1147"/>
      <c r="T51" s="1147"/>
      <c r="U51" s="1147"/>
      <c r="V51" s="1147"/>
      <c r="W51" s="1147"/>
      <c r="X51" s="1147"/>
      <c r="Y51" s="1147"/>
      <c r="Z51" s="1147"/>
      <c r="AA51" s="1147"/>
      <c r="AB51" s="1147"/>
      <c r="AC51" s="1147"/>
      <c r="AD51" s="1147"/>
      <c r="AE51" s="1147"/>
      <c r="AF51" s="1147"/>
      <c r="AG51" s="1147"/>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72"/>
      <c r="BD51" s="272"/>
      <c r="BE51" s="272"/>
      <c r="BF51" s="272"/>
      <c r="BG51" s="272"/>
      <c r="BH51" s="272"/>
      <c r="BI51" s="272"/>
      <c r="BJ51" s="272"/>
      <c r="BK51" s="272"/>
      <c r="BL51" s="272"/>
      <c r="BM51" s="272"/>
      <c r="BN51" s="272"/>
      <c r="BO51" s="272"/>
      <c r="BP51" s="272"/>
      <c r="BQ51" s="272"/>
      <c r="BR51" s="272"/>
      <c r="BS51" s="272"/>
      <c r="BT51" s="272"/>
      <c r="BU51" s="272"/>
      <c r="BV51" s="272"/>
      <c r="BW51" s="272"/>
      <c r="BX51" s="147"/>
    </row>
    <row r="52" spans="7:76" ht="15" customHeight="1">
      <c r="G52" s="970" t="s">
        <v>215</v>
      </c>
      <c r="H52" s="1147" t="s">
        <v>767</v>
      </c>
      <c r="I52" s="1147"/>
      <c r="J52" s="1147"/>
      <c r="K52" s="1147"/>
      <c r="L52" s="1147"/>
      <c r="M52" s="1147"/>
      <c r="N52" s="1147"/>
      <c r="O52" s="1147"/>
      <c r="P52" s="1147"/>
      <c r="Q52" s="1147"/>
      <c r="R52" s="1147"/>
      <c r="S52" s="1147"/>
      <c r="T52" s="1147"/>
      <c r="U52" s="1147"/>
      <c r="V52" s="1147"/>
      <c r="W52" s="1147"/>
      <c r="X52" s="1147"/>
      <c r="Y52" s="1147"/>
      <c r="Z52" s="1147"/>
      <c r="AA52" s="1147"/>
      <c r="AB52" s="1147"/>
      <c r="AC52" s="1147"/>
      <c r="AD52" s="1147"/>
      <c r="AE52" s="1147"/>
      <c r="AF52" s="1147"/>
      <c r="AG52" s="1147"/>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72"/>
      <c r="BD52" s="272"/>
      <c r="BE52" s="272"/>
      <c r="BF52" s="272"/>
      <c r="BG52" s="272"/>
      <c r="BH52" s="272"/>
      <c r="BI52" s="272"/>
      <c r="BJ52" s="272"/>
      <c r="BK52" s="272"/>
      <c r="BL52" s="272"/>
      <c r="BM52" s="272"/>
      <c r="BN52" s="272"/>
      <c r="BO52" s="272"/>
      <c r="BP52" s="272"/>
      <c r="BQ52" s="272"/>
      <c r="BR52" s="272"/>
      <c r="BS52" s="272"/>
      <c r="BT52" s="272"/>
      <c r="BU52" s="272"/>
      <c r="BV52" s="272"/>
      <c r="BW52" s="272"/>
      <c r="BX52" s="147"/>
    </row>
    <row r="53" spans="7:76" ht="15" customHeight="1">
      <c r="G53" s="970" t="s">
        <v>216</v>
      </c>
      <c r="H53" s="1147" t="s">
        <v>851</v>
      </c>
      <c r="I53" s="1147"/>
      <c r="J53" s="1147"/>
      <c r="K53" s="1147"/>
      <c r="L53" s="1147"/>
      <c r="M53" s="1147"/>
      <c r="N53" s="1147"/>
      <c r="O53" s="1147"/>
      <c r="P53" s="1147"/>
      <c r="Q53" s="1147"/>
      <c r="R53" s="1147"/>
      <c r="S53" s="1147"/>
      <c r="T53" s="1147"/>
      <c r="U53" s="1147"/>
      <c r="V53" s="1147"/>
      <c r="W53" s="1147"/>
      <c r="X53" s="1147"/>
      <c r="Y53" s="1147"/>
      <c r="Z53" s="1147"/>
      <c r="AA53" s="1147"/>
      <c r="AB53" s="1147"/>
      <c r="AC53" s="1147"/>
      <c r="AD53" s="1147"/>
      <c r="AE53" s="1147"/>
      <c r="AF53" s="1147"/>
      <c r="AG53" s="1147"/>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M53" s="272"/>
      <c r="BN53" s="272"/>
      <c r="BO53" s="272"/>
      <c r="BP53" s="272"/>
      <c r="BQ53" s="272"/>
      <c r="BR53" s="272"/>
      <c r="BS53" s="272"/>
      <c r="BT53" s="272"/>
      <c r="BU53" s="272"/>
      <c r="BV53" s="272"/>
      <c r="BW53" s="272"/>
      <c r="BX53" s="147"/>
    </row>
    <row r="67" spans="1:33">
      <c r="N67" s="252" t="str">
        <f t="shared" ref="N67:T67" si="58">+IF(RIGHT(LEFT(N$4,2),1)&lt;=RIGHT(LEFT($B$1,2),1),"Yes","")</f>
        <v>Yes</v>
      </c>
      <c r="O67" s="252" t="str">
        <f t="shared" si="58"/>
        <v>Yes</v>
      </c>
      <c r="P67" s="252" t="str">
        <f t="shared" si="58"/>
        <v/>
      </c>
      <c r="Q67" s="252" t="str">
        <f t="shared" si="58"/>
        <v/>
      </c>
      <c r="R67" s="273" t="str">
        <f t="shared" si="58"/>
        <v>Yes</v>
      </c>
      <c r="S67" s="346" t="str">
        <f t="shared" si="58"/>
        <v>Yes</v>
      </c>
      <c r="T67" s="346" t="str">
        <f t="shared" si="58"/>
        <v/>
      </c>
      <c r="U67" s="346" t="str">
        <f>+IF(RIGHT(LEFT(U$4,2),1)&lt;=RIGHT(LEFT($B$1,2),1),"Yes","")</f>
        <v/>
      </c>
    </row>
    <row r="68" spans="1:33" s="252" customFormat="1">
      <c r="A68" s="274"/>
      <c r="B68" s="274"/>
      <c r="C68" s="274"/>
      <c r="D68" s="274"/>
      <c r="E68" s="274"/>
      <c r="F68" s="274"/>
      <c r="G68" s="971"/>
      <c r="N68" s="276" t="s">
        <v>886</v>
      </c>
      <c r="O68" s="275" t="s">
        <v>887</v>
      </c>
      <c r="P68" s="275" t="s">
        <v>888</v>
      </c>
      <c r="Q68" s="275" t="s">
        <v>889</v>
      </c>
      <c r="R68" s="276" t="s">
        <v>903</v>
      </c>
      <c r="S68" s="427" t="s">
        <v>904</v>
      </c>
      <c r="T68" s="427" t="s">
        <v>905</v>
      </c>
      <c r="U68" s="427" t="s">
        <v>906</v>
      </c>
      <c r="Y68" s="641"/>
      <c r="AG68" s="641"/>
    </row>
    <row r="69" spans="1:33">
      <c r="N69" s="278" t="str">
        <f t="shared" ref="N69:U69" si="59">+IF(ROUND((N72+N96+N121),0)&lt;&gt;0,"ERROR","")</f>
        <v/>
      </c>
      <c r="O69" s="277" t="str">
        <f t="shared" si="59"/>
        <v/>
      </c>
      <c r="P69" s="277" t="str">
        <f t="shared" si="59"/>
        <v/>
      </c>
      <c r="Q69" s="277" t="str">
        <f t="shared" si="59"/>
        <v/>
      </c>
      <c r="R69" s="278" t="str">
        <f t="shared" si="59"/>
        <v/>
      </c>
      <c r="S69" s="419" t="str">
        <f t="shared" si="59"/>
        <v/>
      </c>
      <c r="T69" s="419" t="str">
        <f t="shared" si="59"/>
        <v>ERROR</v>
      </c>
      <c r="U69" s="419" t="str">
        <f t="shared" si="59"/>
        <v/>
      </c>
    </row>
    <row r="70" spans="1:33">
      <c r="A70" s="279"/>
      <c r="B70" s="280"/>
      <c r="C70" s="280"/>
      <c r="D70" s="280"/>
      <c r="E70" s="280"/>
      <c r="F70" s="280"/>
      <c r="G70" s="281">
        <v>-1</v>
      </c>
      <c r="H70" s="893" t="str">
        <f>+H13</f>
        <v>Revenues</v>
      </c>
      <c r="I70" s="893"/>
      <c r="J70" s="893"/>
      <c r="K70" s="893"/>
      <c r="L70" s="893"/>
      <c r="M70" s="893"/>
      <c r="N70" s="282">
        <f t="shared" ref="N70:U70" si="60">+N13</f>
        <v>457841.64683347777</v>
      </c>
      <c r="O70" s="281">
        <f t="shared" si="60"/>
        <v>441833.9117702035</v>
      </c>
      <c r="P70" s="281">
        <f t="shared" si="60"/>
        <v>463300.62349024264</v>
      </c>
      <c r="Q70" s="281">
        <f t="shared" si="60"/>
        <v>456832.33619144344</v>
      </c>
      <c r="R70" s="282">
        <f t="shared" si="60"/>
        <v>464633.60267149244</v>
      </c>
      <c r="S70" s="420">
        <f t="shared" si="60"/>
        <v>443606.22183341591</v>
      </c>
      <c r="T70" s="420">
        <f t="shared" si="60"/>
        <v>0</v>
      </c>
      <c r="U70" s="420">
        <f t="shared" si="60"/>
        <v>0</v>
      </c>
    </row>
    <row r="71" spans="1:33">
      <c r="A71" s="283" t="s">
        <v>218</v>
      </c>
      <c r="B71" s="283" t="s">
        <v>50</v>
      </c>
      <c r="C71" s="283" t="s">
        <v>61</v>
      </c>
      <c r="D71" s="283" t="s">
        <v>116</v>
      </c>
      <c r="E71" s="283" t="s">
        <v>133</v>
      </c>
      <c r="F71" s="283"/>
      <c r="G71" s="284">
        <v>-1</v>
      </c>
      <c r="H71" s="894"/>
      <c r="I71" s="145" t="str">
        <f>+RIGHT(D71,LEN(D71)-5)</f>
        <v>Total Revenues</v>
      </c>
      <c r="J71" s="145"/>
      <c r="K71" s="145"/>
      <c r="L71" s="145"/>
      <c r="M71" s="145"/>
      <c r="N71" s="285">
        <v>-457841.64683347783</v>
      </c>
      <c r="O71" s="284">
        <v>-441833.91177020344</v>
      </c>
      <c r="P71" s="284">
        <v>-463300.62349024264</v>
      </c>
      <c r="Q71" s="284">
        <v>-456832.33619144349</v>
      </c>
      <c r="R71" s="285">
        <v>-464633.60267149244</v>
      </c>
      <c r="S71" s="421">
        <v>-443606.22183341574</v>
      </c>
      <c r="T71" s="421">
        <v>-59102.71600230562</v>
      </c>
      <c r="U71" s="421">
        <v>0</v>
      </c>
    </row>
    <row r="72" spans="1:33" ht="14.4" thickBot="1">
      <c r="G72" s="253"/>
      <c r="I72" s="895" t="s">
        <v>119</v>
      </c>
      <c r="J72" s="895"/>
      <c r="K72" s="895"/>
      <c r="L72" s="895"/>
      <c r="M72" s="895"/>
      <c r="N72" s="289">
        <f t="shared" ref="N72:U72" si="61">+SUM(N70:N71)</f>
        <v>0</v>
      </c>
      <c r="O72" s="288">
        <f t="shared" si="61"/>
        <v>0</v>
      </c>
      <c r="P72" s="288">
        <f t="shared" si="61"/>
        <v>0</v>
      </c>
      <c r="Q72" s="288">
        <f t="shared" si="61"/>
        <v>0</v>
      </c>
      <c r="R72" s="289">
        <f t="shared" si="61"/>
        <v>0</v>
      </c>
      <c r="S72" s="422">
        <f t="shared" si="61"/>
        <v>0</v>
      </c>
      <c r="T72" s="422">
        <f t="shared" si="61"/>
        <v>-59102.71600230562</v>
      </c>
      <c r="U72" s="422">
        <f t="shared" si="61"/>
        <v>0</v>
      </c>
    </row>
    <row r="73" spans="1:33" ht="14.4" thickTop="1">
      <c r="G73" s="253"/>
      <c r="N73" s="250"/>
      <c r="R73" s="250"/>
    </row>
    <row r="74" spans="1:33">
      <c r="A74" s="279"/>
      <c r="B74" s="280"/>
      <c r="C74" s="280"/>
      <c r="D74" s="280"/>
      <c r="E74" s="280"/>
      <c r="F74" s="280"/>
      <c r="G74" s="281">
        <v>-1</v>
      </c>
      <c r="H74" s="893" t="str">
        <f>+H7</f>
        <v>Direct Premiums</v>
      </c>
      <c r="I74" s="893"/>
      <c r="J74" s="893"/>
      <c r="K74" s="893"/>
      <c r="L74" s="893"/>
      <c r="M74" s="893"/>
      <c r="N74" s="282">
        <f t="shared" ref="N74:U74" si="62">+SUM(N75:N76)</f>
        <v>-854430.45268567174</v>
      </c>
      <c r="O74" s="281">
        <f t="shared" si="62"/>
        <v>-861919.09492307692</v>
      </c>
      <c r="P74" s="281">
        <f t="shared" si="62"/>
        <v>-864046.9180198072</v>
      </c>
      <c r="Q74" s="281">
        <f t="shared" si="62"/>
        <v>-865138.27004663984</v>
      </c>
      <c r="R74" s="282">
        <f t="shared" si="62"/>
        <v>-867202.30091844825</v>
      </c>
      <c r="S74" s="420">
        <f t="shared" si="62"/>
        <v>-873604.31205804646</v>
      </c>
      <c r="T74" s="420">
        <f t="shared" si="62"/>
        <v>-199186.58935935682</v>
      </c>
      <c r="U74" s="420">
        <f t="shared" si="62"/>
        <v>0</v>
      </c>
    </row>
    <row r="75" spans="1:33">
      <c r="A75" s="283" t="s">
        <v>218</v>
      </c>
      <c r="B75" s="283" t="s">
        <v>50</v>
      </c>
      <c r="C75" s="283" t="s">
        <v>61</v>
      </c>
      <c r="D75" s="283" t="s">
        <v>115</v>
      </c>
      <c r="E75" s="283" t="s">
        <v>133</v>
      </c>
      <c r="F75" s="283"/>
      <c r="G75" s="284">
        <v>-1</v>
      </c>
      <c r="H75" s="894"/>
      <c r="I75" s="145" t="str">
        <f>+RIGHT(D75,LEN(D75)-5)</f>
        <v>Direct Premium</v>
      </c>
      <c r="J75" s="145"/>
      <c r="K75" s="145"/>
      <c r="L75" s="145"/>
      <c r="M75" s="145"/>
      <c r="N75" s="285">
        <v>-854430.45268567174</v>
      </c>
      <c r="O75" s="284">
        <v>-861919.09492307692</v>
      </c>
      <c r="P75" s="284">
        <v>-864046.9180198072</v>
      </c>
      <c r="Q75" s="284">
        <v>-865138.27004663984</v>
      </c>
      <c r="R75" s="285">
        <v>-867202.30091844825</v>
      </c>
      <c r="S75" s="421">
        <v>-873604.31205804646</v>
      </c>
      <c r="T75" s="421">
        <v>-199186.58935935682</v>
      </c>
      <c r="U75" s="421">
        <v>0</v>
      </c>
    </row>
    <row r="76" spans="1:33">
      <c r="G76" s="253"/>
      <c r="N76" s="250"/>
      <c r="R76" s="250"/>
    </row>
    <row r="77" spans="1:33">
      <c r="A77" s="279"/>
      <c r="B77" s="280"/>
      <c r="C77" s="280"/>
      <c r="D77" s="280"/>
      <c r="E77" s="280"/>
      <c r="F77" s="280"/>
      <c r="G77" s="281">
        <v>-1</v>
      </c>
      <c r="H77" s="893" t="str">
        <f>+H8</f>
        <v>Premiums ceded to IPO coinsurers (1)</v>
      </c>
      <c r="I77" s="893"/>
      <c r="J77" s="893"/>
      <c r="K77" s="893"/>
      <c r="L77" s="893"/>
      <c r="M77" s="893"/>
      <c r="N77" s="282">
        <f t="shared" ref="N77:U77" si="63">+SUM(N78:N79)</f>
        <v>191477.10753027844</v>
      </c>
      <c r="O77" s="281">
        <f t="shared" si="63"/>
        <v>187988.117010138</v>
      </c>
      <c r="P77" s="281">
        <f t="shared" si="63"/>
        <v>185391.85790959059</v>
      </c>
      <c r="Q77" s="281">
        <f t="shared" si="63"/>
        <v>183123.43464625214</v>
      </c>
      <c r="R77" s="282">
        <f t="shared" si="63"/>
        <v>179574.82698573361</v>
      </c>
      <c r="S77" s="420">
        <f t="shared" si="63"/>
        <v>176766.37789732899</v>
      </c>
      <c r="T77" s="420">
        <f t="shared" si="63"/>
        <v>-14014.182064348361</v>
      </c>
      <c r="U77" s="420">
        <f t="shared" si="63"/>
        <v>0</v>
      </c>
    </row>
    <row r="78" spans="1:33">
      <c r="A78" s="283" t="s">
        <v>218</v>
      </c>
      <c r="B78" s="283" t="s">
        <v>50</v>
      </c>
      <c r="C78" s="283" t="s">
        <v>61</v>
      </c>
      <c r="D78" s="283" t="s">
        <v>220</v>
      </c>
      <c r="E78" s="283" t="s">
        <v>221</v>
      </c>
      <c r="F78" s="283"/>
      <c r="G78" s="284">
        <v>-1</v>
      </c>
      <c r="H78" s="894"/>
      <c r="I78" s="145" t="str">
        <f>+RIGHT(D78,LEN(D78)-7)</f>
        <v>Direct Premium Ceded</v>
      </c>
      <c r="J78" s="145"/>
      <c r="K78" s="145"/>
      <c r="L78" s="145"/>
      <c r="M78" s="145"/>
      <c r="N78" s="285">
        <v>191477.10753027844</v>
      </c>
      <c r="O78" s="284">
        <v>187988.117010138</v>
      </c>
      <c r="P78" s="284">
        <v>185391.85790959059</v>
      </c>
      <c r="Q78" s="284">
        <v>183123.43464625214</v>
      </c>
      <c r="R78" s="285">
        <v>179574.82698573361</v>
      </c>
      <c r="S78" s="421">
        <v>176766.37789732899</v>
      </c>
      <c r="T78" s="421">
        <v>-14014.182064348361</v>
      </c>
      <c r="U78" s="421">
        <v>0</v>
      </c>
    </row>
    <row r="79" spans="1:33">
      <c r="G79" s="253"/>
      <c r="N79" s="250"/>
      <c r="R79" s="250"/>
    </row>
    <row r="80" spans="1:33">
      <c r="A80" s="279"/>
      <c r="B80" s="280"/>
      <c r="C80" s="280"/>
      <c r="D80" s="280"/>
      <c r="E80" s="280"/>
      <c r="F80" s="280"/>
      <c r="G80" s="281">
        <v>-1</v>
      </c>
      <c r="H80" s="893" t="str">
        <f>+H10</f>
        <v>Other ceded premiums (3)</v>
      </c>
      <c r="I80" s="893"/>
      <c r="J80" s="893"/>
      <c r="K80" s="893"/>
      <c r="L80" s="893"/>
      <c r="M80" s="893"/>
      <c r="N80" s="282">
        <f t="shared" ref="N80:U80" si="64">+SUM(N81:N83)</f>
        <v>217856.99024264986</v>
      </c>
      <c r="O80" s="281">
        <f t="shared" si="64"/>
        <v>244318.22531117749</v>
      </c>
      <c r="P80" s="281">
        <f t="shared" si="64"/>
        <v>227543.3182254713</v>
      </c>
      <c r="Q80" s="281">
        <f t="shared" si="64"/>
        <v>236149.33098429051</v>
      </c>
      <c r="R80" s="282">
        <f t="shared" si="64"/>
        <v>234268.51997312615</v>
      </c>
      <c r="S80" s="420">
        <f t="shared" si="64"/>
        <v>264475.14431909972</v>
      </c>
      <c r="T80" s="420">
        <f t="shared" si="64"/>
        <v>154196.7092695217</v>
      </c>
      <c r="U80" s="420">
        <f t="shared" si="64"/>
        <v>0</v>
      </c>
    </row>
    <row r="81" spans="1:21">
      <c r="A81" s="283" t="s">
        <v>218</v>
      </c>
      <c r="B81" s="283" t="s">
        <v>50</v>
      </c>
      <c r="C81" s="283" t="s">
        <v>61</v>
      </c>
      <c r="D81" s="283" t="s">
        <v>120</v>
      </c>
      <c r="E81" s="283" t="s">
        <v>133</v>
      </c>
      <c r="F81" s="283"/>
      <c r="G81" s="284">
        <v>-1</v>
      </c>
      <c r="H81" s="894"/>
      <c r="I81" s="145" t="str">
        <f>+RIGHT(D81,LEN(D81)-5)</f>
        <v>Ceded Premium</v>
      </c>
      <c r="J81" s="145"/>
      <c r="K81" s="145"/>
      <c r="L81" s="145"/>
      <c r="M81" s="145"/>
      <c r="N81" s="285">
        <v>409334.0977729283</v>
      </c>
      <c r="O81" s="284">
        <v>432306.34232131549</v>
      </c>
      <c r="P81" s="284">
        <v>412935.17613506189</v>
      </c>
      <c r="Q81" s="284">
        <v>419272.76563054265</v>
      </c>
      <c r="R81" s="285">
        <v>413843.34695885977</v>
      </c>
      <c r="S81" s="421">
        <v>441241.52221642871</v>
      </c>
      <c r="T81" s="421">
        <v>140182.52720517333</v>
      </c>
      <c r="U81" s="421">
        <v>0</v>
      </c>
    </row>
    <row r="82" spans="1:21">
      <c r="A82" s="283"/>
      <c r="B82" s="283"/>
      <c r="C82" s="283"/>
      <c r="D82" s="283"/>
      <c r="E82" s="283"/>
      <c r="F82" s="283"/>
      <c r="G82" s="286">
        <v>-1</v>
      </c>
      <c r="H82" s="897"/>
      <c r="I82" s="146" t="str">
        <f>+I78</f>
        <v>Direct Premium Ceded</v>
      </c>
      <c r="N82" s="287">
        <f t="shared" ref="N82:U82" si="65">+N78*$G$82</f>
        <v>-191477.10753027844</v>
      </c>
      <c r="O82" s="286">
        <f t="shared" si="65"/>
        <v>-187988.117010138</v>
      </c>
      <c r="P82" s="286">
        <f t="shared" si="65"/>
        <v>-185391.85790959059</v>
      </c>
      <c r="Q82" s="286">
        <f t="shared" si="65"/>
        <v>-183123.43464625214</v>
      </c>
      <c r="R82" s="287">
        <f t="shared" si="65"/>
        <v>-179574.82698573361</v>
      </c>
      <c r="S82" s="203">
        <f t="shared" si="65"/>
        <v>-176766.37789732899</v>
      </c>
      <c r="T82" s="203">
        <f t="shared" si="65"/>
        <v>14014.182064348361</v>
      </c>
      <c r="U82" s="203">
        <f t="shared" si="65"/>
        <v>0</v>
      </c>
    </row>
    <row r="83" spans="1:21">
      <c r="A83" s="283"/>
      <c r="B83" s="283"/>
      <c r="C83" s="283"/>
      <c r="D83" s="283"/>
      <c r="E83" s="283"/>
      <c r="F83" s="283"/>
      <c r="G83" s="286"/>
      <c r="H83" s="897"/>
      <c r="N83" s="287"/>
      <c r="O83" s="286"/>
      <c r="P83" s="286"/>
      <c r="Q83" s="286"/>
      <c r="R83" s="287"/>
      <c r="S83" s="203"/>
      <c r="T83" s="203"/>
      <c r="U83" s="203"/>
    </row>
    <row r="84" spans="1:21">
      <c r="A84" s="279"/>
      <c r="B84" s="280"/>
      <c r="C84" s="280"/>
      <c r="D84" s="280"/>
      <c r="E84" s="280"/>
      <c r="F84" s="280"/>
      <c r="G84" s="281">
        <v>-1</v>
      </c>
      <c r="H84" s="893" t="str">
        <f>+I85</f>
        <v>Net Investment Income</v>
      </c>
      <c r="I84" s="893"/>
      <c r="J84" s="893"/>
      <c r="K84" s="893"/>
      <c r="L84" s="893"/>
      <c r="M84" s="893"/>
      <c r="N84" s="282">
        <f t="shared" ref="N84:U84" si="66">+SUM(N85:N86)</f>
        <v>0</v>
      </c>
      <c r="O84" s="281">
        <f t="shared" si="66"/>
        <v>0</v>
      </c>
      <c r="P84" s="281">
        <f t="shared" si="66"/>
        <v>0</v>
      </c>
      <c r="Q84" s="281">
        <f t="shared" si="66"/>
        <v>0</v>
      </c>
      <c r="R84" s="282">
        <f t="shared" si="66"/>
        <v>0</v>
      </c>
      <c r="S84" s="420">
        <f t="shared" si="66"/>
        <v>0</v>
      </c>
      <c r="T84" s="420">
        <f t="shared" si="66"/>
        <v>0</v>
      </c>
      <c r="U84" s="420">
        <f t="shared" si="66"/>
        <v>0</v>
      </c>
    </row>
    <row r="85" spans="1:21">
      <c r="A85" s="283" t="s">
        <v>218</v>
      </c>
      <c r="B85" s="283" t="s">
        <v>50</v>
      </c>
      <c r="C85" s="283" t="s">
        <v>61</v>
      </c>
      <c r="D85" s="283" t="s">
        <v>121</v>
      </c>
      <c r="E85" s="283" t="s">
        <v>133</v>
      </c>
      <c r="F85" s="283"/>
      <c r="G85" s="284">
        <v>-1</v>
      </c>
      <c r="H85" s="894"/>
      <c r="I85" s="145" t="str">
        <f>+RIGHT(D85,LEN(D85)-5)</f>
        <v>Net Investment Income</v>
      </c>
      <c r="J85" s="145"/>
      <c r="K85" s="145"/>
      <c r="L85" s="145"/>
      <c r="M85" s="145"/>
      <c r="N85" s="285">
        <v>0</v>
      </c>
      <c r="O85" s="284">
        <v>0</v>
      </c>
      <c r="P85" s="284">
        <v>0</v>
      </c>
      <c r="Q85" s="284">
        <v>0</v>
      </c>
      <c r="R85" s="285">
        <v>0</v>
      </c>
      <c r="S85" s="421">
        <v>0</v>
      </c>
      <c r="T85" s="421">
        <v>0</v>
      </c>
      <c r="U85" s="421">
        <v>0</v>
      </c>
    </row>
    <row r="86" spans="1:21">
      <c r="G86" s="253"/>
      <c r="N86" s="250"/>
      <c r="R86" s="250"/>
    </row>
    <row r="87" spans="1:21">
      <c r="A87" s="279"/>
      <c r="B87" s="280"/>
      <c r="C87" s="280"/>
      <c r="D87" s="280"/>
      <c r="E87" s="280"/>
      <c r="F87" s="280"/>
      <c r="G87" s="281">
        <v>-1</v>
      </c>
      <c r="H87" s="893" t="str">
        <f>+I88</f>
        <v>Commission and Fee Income</v>
      </c>
      <c r="I87" s="893"/>
      <c r="J87" s="893"/>
      <c r="K87" s="893"/>
      <c r="L87" s="893"/>
      <c r="M87" s="893"/>
      <c r="N87" s="282">
        <f t="shared" ref="N87:U87" si="67">+SUM(N88:N89)</f>
        <v>0</v>
      </c>
      <c r="O87" s="281">
        <f t="shared" si="67"/>
        <v>0</v>
      </c>
      <c r="P87" s="281">
        <f t="shared" si="67"/>
        <v>0</v>
      </c>
      <c r="Q87" s="281">
        <f t="shared" si="67"/>
        <v>0</v>
      </c>
      <c r="R87" s="282">
        <f t="shared" si="67"/>
        <v>0</v>
      </c>
      <c r="S87" s="420">
        <f t="shared" si="67"/>
        <v>0</v>
      </c>
      <c r="T87" s="420">
        <f t="shared" si="67"/>
        <v>0</v>
      </c>
      <c r="U87" s="420">
        <f t="shared" si="67"/>
        <v>0</v>
      </c>
    </row>
    <row r="88" spans="1:21">
      <c r="A88" s="283" t="s">
        <v>218</v>
      </c>
      <c r="B88" s="283" t="s">
        <v>50</v>
      </c>
      <c r="C88" s="283" t="s">
        <v>61</v>
      </c>
      <c r="D88" s="283" t="s">
        <v>219</v>
      </c>
      <c r="E88" s="283" t="s">
        <v>133</v>
      </c>
      <c r="F88" s="283"/>
      <c r="G88" s="284">
        <v>-1</v>
      </c>
      <c r="H88" s="894"/>
      <c r="I88" s="145" t="str">
        <f>+RIGHT(D88,LEN(D88)-5)</f>
        <v>Commission and Fee Income</v>
      </c>
      <c r="J88" s="145"/>
      <c r="K88" s="145"/>
      <c r="L88" s="145"/>
      <c r="M88" s="145"/>
      <c r="N88" s="285">
        <v>0</v>
      </c>
      <c r="O88" s="284">
        <v>0</v>
      </c>
      <c r="P88" s="284">
        <v>0</v>
      </c>
      <c r="Q88" s="284">
        <v>0</v>
      </c>
      <c r="R88" s="285">
        <v>0</v>
      </c>
      <c r="S88" s="421">
        <v>0</v>
      </c>
      <c r="T88" s="421">
        <v>0</v>
      </c>
      <c r="U88" s="421">
        <v>0</v>
      </c>
    </row>
    <row r="89" spans="1:21">
      <c r="G89" s="253"/>
      <c r="N89" s="250"/>
      <c r="R89" s="250"/>
    </row>
    <row r="90" spans="1:21">
      <c r="A90" s="279"/>
      <c r="B90" s="280"/>
      <c r="C90" s="280"/>
      <c r="D90" s="280"/>
      <c r="E90" s="280"/>
      <c r="F90" s="280"/>
      <c r="G90" s="281">
        <v>-1</v>
      </c>
      <c r="H90" s="893" t="str">
        <f>+H12</f>
        <v>Other, net</v>
      </c>
      <c r="I90" s="893"/>
      <c r="J90" s="893"/>
      <c r="K90" s="893"/>
      <c r="L90" s="893"/>
      <c r="M90" s="893"/>
      <c r="N90" s="282">
        <f t="shared" ref="N90:U90" si="68">+SUM(N91:N92)</f>
        <v>-12745.291920734368</v>
      </c>
      <c r="O90" s="281">
        <f t="shared" si="68"/>
        <v>-12221.159168442047</v>
      </c>
      <c r="P90" s="281">
        <f t="shared" si="68"/>
        <v>-12188.881605497316</v>
      </c>
      <c r="Q90" s="281">
        <f t="shared" si="68"/>
        <v>-10966.8317753463</v>
      </c>
      <c r="R90" s="282">
        <f t="shared" si="68"/>
        <v>-11274.648711903899</v>
      </c>
      <c r="S90" s="420">
        <f t="shared" si="68"/>
        <v>-11243.431991798083</v>
      </c>
      <c r="T90" s="420">
        <f t="shared" si="68"/>
        <v>-98.653848122151004</v>
      </c>
      <c r="U90" s="420">
        <f t="shared" si="68"/>
        <v>0</v>
      </c>
    </row>
    <row r="91" spans="1:21">
      <c r="A91" s="283" t="s">
        <v>218</v>
      </c>
      <c r="B91" s="283" t="s">
        <v>50</v>
      </c>
      <c r="C91" s="283" t="s">
        <v>61</v>
      </c>
      <c r="D91" s="283" t="s">
        <v>127</v>
      </c>
      <c r="E91" s="283" t="s">
        <v>133</v>
      </c>
      <c r="F91" s="283"/>
      <c r="G91" s="284">
        <v>-1</v>
      </c>
      <c r="H91" s="894"/>
      <c r="I91" s="145" t="str">
        <f>+RIGHT(D91,LEN(D91)-5)</f>
        <v>Other Income</v>
      </c>
      <c r="J91" s="145"/>
      <c r="K91" s="145"/>
      <c r="L91" s="145"/>
      <c r="M91" s="145"/>
      <c r="N91" s="285">
        <v>-12745.291920734368</v>
      </c>
      <c r="O91" s="284">
        <v>-12221.159168442047</v>
      </c>
      <c r="P91" s="284">
        <v>-12188.881605497316</v>
      </c>
      <c r="Q91" s="284">
        <v>-10966.8317753463</v>
      </c>
      <c r="R91" s="285">
        <v>-11274.648711903899</v>
      </c>
      <c r="S91" s="421">
        <v>-11243.431991798083</v>
      </c>
      <c r="T91" s="421">
        <v>-98.653848122151004</v>
      </c>
      <c r="U91" s="421">
        <v>0</v>
      </c>
    </row>
    <row r="92" spans="1:21">
      <c r="G92" s="253"/>
      <c r="N92" s="250"/>
      <c r="R92" s="250"/>
    </row>
    <row r="93" spans="1:21">
      <c r="G93" s="253"/>
      <c r="N93" s="250"/>
      <c r="R93" s="250"/>
    </row>
    <row r="94" spans="1:21">
      <c r="A94" s="279"/>
      <c r="B94" s="280"/>
      <c r="C94" s="280"/>
      <c r="D94" s="280"/>
      <c r="E94" s="280"/>
      <c r="F94" s="280"/>
      <c r="G94" s="281">
        <v>1</v>
      </c>
      <c r="H94" s="893" t="str">
        <f>+H21</f>
        <v>Benefits and expenses</v>
      </c>
      <c r="I94" s="893"/>
      <c r="J94" s="893"/>
      <c r="K94" s="893"/>
      <c r="L94" s="893"/>
      <c r="M94" s="893"/>
      <c r="N94" s="282">
        <f t="shared" ref="N94:U94" si="69">+N21</f>
        <v>311056.37804449711</v>
      </c>
      <c r="O94" s="281">
        <f t="shared" si="69"/>
        <v>286821.4747767963</v>
      </c>
      <c r="P94" s="281">
        <f t="shared" si="69"/>
        <v>290616.34298635641</v>
      </c>
      <c r="Q94" s="281">
        <f t="shared" si="69"/>
        <v>310253.83658449148</v>
      </c>
      <c r="R94" s="282">
        <f t="shared" si="69"/>
        <v>309774.49930510746</v>
      </c>
      <c r="S94" s="420">
        <f t="shared" si="69"/>
        <v>295125.81052190799</v>
      </c>
      <c r="T94" s="420">
        <f t="shared" si="69"/>
        <v>0</v>
      </c>
      <c r="U94" s="420">
        <f t="shared" si="69"/>
        <v>0</v>
      </c>
    </row>
    <row r="95" spans="1:21">
      <c r="A95" s="283" t="s">
        <v>218</v>
      </c>
      <c r="B95" s="283" t="s">
        <v>50</v>
      </c>
      <c r="C95" s="283" t="s">
        <v>61</v>
      </c>
      <c r="D95" s="283" t="s">
        <v>130</v>
      </c>
      <c r="E95" s="283" t="s">
        <v>133</v>
      </c>
      <c r="F95" s="283"/>
      <c r="G95" s="284">
        <v>1</v>
      </c>
      <c r="H95" s="894"/>
      <c r="I95" s="145" t="str">
        <f>+RIGHT(D95,LEN(D95)-5)</f>
        <v>Benefits and Expenses</v>
      </c>
      <c r="J95" s="145"/>
      <c r="K95" s="145"/>
      <c r="L95" s="145"/>
      <c r="M95" s="145"/>
      <c r="N95" s="285">
        <v>311056.37804449711</v>
      </c>
      <c r="O95" s="284">
        <v>286821.47477679636</v>
      </c>
      <c r="P95" s="284">
        <v>290616.34298635641</v>
      </c>
      <c r="Q95" s="284">
        <v>310253.83658449142</v>
      </c>
      <c r="R95" s="285">
        <v>309774.49930510751</v>
      </c>
      <c r="S95" s="421">
        <v>295125.81052190799</v>
      </c>
      <c r="T95" s="421">
        <v>-954563.13523843198</v>
      </c>
      <c r="U95" s="421">
        <v>0</v>
      </c>
    </row>
    <row r="96" spans="1:21" ht="14.4" thickBot="1">
      <c r="G96" s="253"/>
      <c r="I96" s="895" t="s">
        <v>146</v>
      </c>
      <c r="J96" s="895"/>
      <c r="K96" s="895"/>
      <c r="L96" s="895"/>
      <c r="M96" s="895"/>
      <c r="N96" s="289">
        <f t="shared" ref="N96:U96" si="70">+N94-N95</f>
        <v>0</v>
      </c>
      <c r="O96" s="288">
        <f t="shared" si="70"/>
        <v>0</v>
      </c>
      <c r="P96" s="288">
        <f t="shared" si="70"/>
        <v>0</v>
      </c>
      <c r="Q96" s="288">
        <f t="shared" si="70"/>
        <v>0</v>
      </c>
      <c r="R96" s="289">
        <f t="shared" si="70"/>
        <v>0</v>
      </c>
      <c r="S96" s="422">
        <f t="shared" si="70"/>
        <v>0</v>
      </c>
      <c r="T96" s="422">
        <f t="shared" si="70"/>
        <v>954563.13523843198</v>
      </c>
      <c r="U96" s="422">
        <f t="shared" si="70"/>
        <v>0</v>
      </c>
    </row>
    <row r="97" spans="1:21" ht="14.4" thickTop="1">
      <c r="G97" s="253"/>
      <c r="N97" s="250"/>
      <c r="R97" s="250"/>
    </row>
    <row r="98" spans="1:21">
      <c r="A98" s="279"/>
      <c r="B98" s="280"/>
      <c r="C98" s="280"/>
      <c r="D98" s="280"/>
      <c r="E98" s="280"/>
      <c r="F98" s="280"/>
      <c r="G98" s="281">
        <v>1</v>
      </c>
      <c r="H98" s="893" t="str">
        <f>+H16</f>
        <v>Benefits and claims</v>
      </c>
      <c r="I98" s="893"/>
      <c r="J98" s="893"/>
      <c r="K98" s="893"/>
      <c r="L98" s="893"/>
      <c r="M98" s="893"/>
      <c r="N98" s="282">
        <f t="shared" ref="N98:U98" si="71">+SUM(N99:N100)</f>
        <v>171242.8919213606</v>
      </c>
      <c r="O98" s="281">
        <f t="shared" si="71"/>
        <v>148724.92502308579</v>
      </c>
      <c r="P98" s="281">
        <f t="shared" si="71"/>
        <v>168319.1123627261</v>
      </c>
      <c r="Q98" s="281">
        <f t="shared" si="71"/>
        <v>163257.26612405691</v>
      </c>
      <c r="R98" s="282">
        <f t="shared" si="71"/>
        <v>167251.64124367945</v>
      </c>
      <c r="S98" s="420">
        <f t="shared" si="71"/>
        <v>144173.59068420142</v>
      </c>
      <c r="T98" s="420">
        <f t="shared" si="71"/>
        <v>-4910670.3627423821</v>
      </c>
      <c r="U98" s="420">
        <f t="shared" si="71"/>
        <v>0</v>
      </c>
    </row>
    <row r="99" spans="1:21">
      <c r="A99" s="283" t="s">
        <v>218</v>
      </c>
      <c r="B99" s="283" t="s">
        <v>50</v>
      </c>
      <c r="C99" s="283" t="s">
        <v>61</v>
      </c>
      <c r="D99" s="283" t="s">
        <v>128</v>
      </c>
      <c r="E99" s="283" t="s">
        <v>133</v>
      </c>
      <c r="F99" s="283"/>
      <c r="G99" s="284">
        <v>1</v>
      </c>
      <c r="H99" s="894"/>
      <c r="I99" s="145" t="str">
        <f>+RIGHT(D99,LEN(D99)-5)</f>
        <v>Benefits and Claims</v>
      </c>
      <c r="J99" s="145"/>
      <c r="K99" s="145"/>
      <c r="L99" s="145"/>
      <c r="M99" s="145"/>
      <c r="N99" s="285">
        <v>171242.8919213606</v>
      </c>
      <c r="O99" s="284">
        <v>148724.92502308579</v>
      </c>
      <c r="P99" s="284">
        <v>168319.1123627261</v>
      </c>
      <c r="Q99" s="284">
        <v>163257.26612405691</v>
      </c>
      <c r="R99" s="285">
        <v>167251.64124367945</v>
      </c>
      <c r="S99" s="421">
        <v>144173.59068420142</v>
      </c>
      <c r="T99" s="421">
        <v>-4910670.3627423821</v>
      </c>
      <c r="U99" s="421">
        <v>0</v>
      </c>
    </row>
    <row r="100" spans="1:21">
      <c r="G100" s="253"/>
      <c r="N100" s="250"/>
      <c r="R100" s="250"/>
    </row>
    <row r="101" spans="1:21">
      <c r="A101" s="279"/>
      <c r="B101" s="280"/>
      <c r="C101" s="280"/>
      <c r="D101" s="280"/>
      <c r="E101" s="280"/>
      <c r="F101" s="280"/>
      <c r="G101" s="281">
        <v>1</v>
      </c>
      <c r="H101" s="893" t="str">
        <f>+H17</f>
        <v>Future policy benefits remeasurement (gain)/loss</v>
      </c>
      <c r="I101" s="893"/>
      <c r="J101" s="893"/>
      <c r="K101" s="893"/>
      <c r="L101" s="893"/>
      <c r="M101" s="893"/>
      <c r="N101" s="282">
        <f t="shared" ref="N101:U101" si="72">+SUM(N102:N103)</f>
        <v>-3401.7444525375499</v>
      </c>
      <c r="O101" s="281">
        <f t="shared" si="72"/>
        <v>-5743.1792067112201</v>
      </c>
      <c r="P101" s="281">
        <f t="shared" si="72"/>
        <v>-23391.654125330198</v>
      </c>
      <c r="Q101" s="281">
        <f t="shared" si="72"/>
        <v>-5189.5301335046506</v>
      </c>
      <c r="R101" s="282">
        <f t="shared" si="72"/>
        <v>-7563.7733304818694</v>
      </c>
      <c r="S101" s="420">
        <f t="shared" si="72"/>
        <v>-4858.2190177068505</v>
      </c>
      <c r="T101" s="420">
        <f t="shared" si="72"/>
        <v>12403.113455696601</v>
      </c>
      <c r="U101" s="420">
        <f t="shared" si="72"/>
        <v>0</v>
      </c>
    </row>
    <row r="102" spans="1:21">
      <c r="A102" s="283" t="s">
        <v>218</v>
      </c>
      <c r="B102" s="283" t="s">
        <v>50</v>
      </c>
      <c r="C102" s="283" t="s">
        <v>61</v>
      </c>
      <c r="D102" s="283" t="s">
        <v>715</v>
      </c>
      <c r="E102" s="283" t="s">
        <v>133</v>
      </c>
      <c r="F102" s="283"/>
      <c r="G102" s="284"/>
      <c r="H102" s="894"/>
      <c r="I102" s="145"/>
      <c r="J102" s="145"/>
      <c r="K102" s="145"/>
      <c r="L102" s="145"/>
      <c r="M102" s="145"/>
      <c r="N102" s="285">
        <v>-3401.7444525375499</v>
      </c>
      <c r="O102" s="284">
        <v>-5743.1792067112201</v>
      </c>
      <c r="P102" s="284">
        <v>-23391.654125330198</v>
      </c>
      <c r="Q102" s="284">
        <v>-5189.5301335046506</v>
      </c>
      <c r="R102" s="285">
        <v>-7563.7733304818694</v>
      </c>
      <c r="S102" s="421">
        <v>-4858.2190177068505</v>
      </c>
      <c r="T102" s="421">
        <v>12403.113455696601</v>
      </c>
      <c r="U102" s="421">
        <v>0</v>
      </c>
    </row>
    <row r="103" spans="1:21">
      <c r="G103" s="253"/>
      <c r="N103" s="250"/>
      <c r="R103" s="250"/>
    </row>
    <row r="104" spans="1:21">
      <c r="A104" s="279"/>
      <c r="B104" s="280"/>
      <c r="C104" s="280"/>
      <c r="D104" s="280"/>
      <c r="E104" s="280"/>
      <c r="F104" s="280"/>
      <c r="G104" s="281">
        <v>1</v>
      </c>
      <c r="H104" s="893" t="str">
        <f>+H18</f>
        <v>Amortization of DAC</v>
      </c>
      <c r="I104" s="893"/>
      <c r="J104" s="893"/>
      <c r="K104" s="893"/>
      <c r="L104" s="893"/>
      <c r="M104" s="893"/>
      <c r="N104" s="282">
        <f t="shared" ref="N104:U104" si="73">+SUM(N105:N106)</f>
        <v>76921.296470859059</v>
      </c>
      <c r="O104" s="281">
        <f t="shared" si="73"/>
        <v>78386.227681415825</v>
      </c>
      <c r="P104" s="281">
        <f t="shared" si="73"/>
        <v>79876.330710368988</v>
      </c>
      <c r="Q104" s="281">
        <f t="shared" si="73"/>
        <v>81226.682289560165</v>
      </c>
      <c r="R104" s="282">
        <f t="shared" si="73"/>
        <v>82666.235449583997</v>
      </c>
      <c r="S104" s="420">
        <f t="shared" si="73"/>
        <v>83567.470712706199</v>
      </c>
      <c r="T104" s="420">
        <f t="shared" si="73"/>
        <v>3673024.0902608088</v>
      </c>
      <c r="U104" s="420">
        <f t="shared" si="73"/>
        <v>0</v>
      </c>
    </row>
    <row r="105" spans="1:21">
      <c r="A105" s="283" t="s">
        <v>218</v>
      </c>
      <c r="B105" s="283" t="s">
        <v>50</v>
      </c>
      <c r="C105" s="283" t="s">
        <v>61</v>
      </c>
      <c r="D105" s="283" t="s">
        <v>91</v>
      </c>
      <c r="E105" s="283" t="s">
        <v>133</v>
      </c>
      <c r="F105" s="283"/>
      <c r="G105" s="284">
        <v>1</v>
      </c>
      <c r="H105" s="894"/>
      <c r="I105" s="145" t="str">
        <f>+RIGHT(D105,LEN(D105)-5)</f>
        <v>Amortization of DAC</v>
      </c>
      <c r="J105" s="145"/>
      <c r="K105" s="145"/>
      <c r="L105" s="145"/>
      <c r="M105" s="145"/>
      <c r="N105" s="285">
        <v>76921.296470859059</v>
      </c>
      <c r="O105" s="284">
        <v>78386.227681415825</v>
      </c>
      <c r="P105" s="284">
        <v>79876.330710368988</v>
      </c>
      <c r="Q105" s="284">
        <v>81226.682289560165</v>
      </c>
      <c r="R105" s="285">
        <v>82666.235449583997</v>
      </c>
      <c r="S105" s="421">
        <v>83567.470712706199</v>
      </c>
      <c r="T105" s="421">
        <v>3673024.0902608088</v>
      </c>
      <c r="U105" s="421">
        <v>0</v>
      </c>
    </row>
    <row r="106" spans="1:21">
      <c r="G106" s="253"/>
      <c r="N106" s="250"/>
      <c r="R106" s="250"/>
    </row>
    <row r="107" spans="1:21">
      <c r="A107" s="279"/>
      <c r="B107" s="280"/>
      <c r="C107" s="280"/>
      <c r="D107" s="280"/>
      <c r="E107" s="280"/>
      <c r="F107" s="280"/>
      <c r="G107" s="281">
        <v>1</v>
      </c>
      <c r="H107" s="893" t="str">
        <f>+H19</f>
        <v>Insurance commissions</v>
      </c>
      <c r="I107" s="893"/>
      <c r="J107" s="893"/>
      <c r="K107" s="893"/>
      <c r="L107" s="893"/>
      <c r="M107" s="893"/>
      <c r="N107" s="282">
        <f t="shared" ref="N107:U107" si="74">+SUM(N108:N109)</f>
        <v>2648.7769112899045</v>
      </c>
      <c r="O107" s="281">
        <f t="shared" si="74"/>
        <v>2237.7812494720938</v>
      </c>
      <c r="P107" s="281">
        <f t="shared" si="74"/>
        <v>2754.7429131665635</v>
      </c>
      <c r="Q107" s="281">
        <f t="shared" si="74"/>
        <v>1993.4223401935612</v>
      </c>
      <c r="R107" s="282">
        <f t="shared" si="74"/>
        <v>2042.342495465208</v>
      </c>
      <c r="S107" s="420">
        <f t="shared" si="74"/>
        <v>2222.5005601480661</v>
      </c>
      <c r="T107" s="420">
        <f t="shared" si="74"/>
        <v>253371.86857103108</v>
      </c>
      <c r="U107" s="420">
        <f t="shared" si="74"/>
        <v>0</v>
      </c>
    </row>
    <row r="108" spans="1:21">
      <c r="A108" s="283" t="s">
        <v>218</v>
      </c>
      <c r="B108" s="283" t="s">
        <v>50</v>
      </c>
      <c r="C108" s="283" t="s">
        <v>61</v>
      </c>
      <c r="D108" s="283" t="s">
        <v>132</v>
      </c>
      <c r="E108" s="283" t="s">
        <v>133</v>
      </c>
      <c r="F108" s="283"/>
      <c r="G108" s="284">
        <v>1</v>
      </c>
      <c r="H108" s="894"/>
      <c r="I108" s="145" t="str">
        <f>+RIGHT(D108,LEN(D108)-5)</f>
        <v>Insurance Commissions</v>
      </c>
      <c r="J108" s="145"/>
      <c r="K108" s="145"/>
      <c r="L108" s="145"/>
      <c r="M108" s="145"/>
      <c r="N108" s="285">
        <v>2648.7769112899045</v>
      </c>
      <c r="O108" s="284">
        <v>2237.7812494720938</v>
      </c>
      <c r="P108" s="284">
        <v>2754.7429131665635</v>
      </c>
      <c r="Q108" s="284">
        <v>1993.4223401935612</v>
      </c>
      <c r="R108" s="285">
        <v>2042.342495465208</v>
      </c>
      <c r="S108" s="421">
        <v>2222.5005601480661</v>
      </c>
      <c r="T108" s="421">
        <v>253371.86857103108</v>
      </c>
      <c r="U108" s="421">
        <v>0</v>
      </c>
    </row>
    <row r="109" spans="1:21">
      <c r="G109" s="253"/>
      <c r="N109" s="250"/>
      <c r="R109" s="250"/>
    </row>
    <row r="110" spans="1:21">
      <c r="A110" s="279"/>
      <c r="B110" s="280"/>
      <c r="C110" s="280"/>
      <c r="D110" s="280"/>
      <c r="E110" s="280"/>
      <c r="F110" s="280"/>
      <c r="G110" s="281">
        <v>1</v>
      </c>
      <c r="H110" s="893" t="str">
        <f>+H20</f>
        <v>Insurance expenses</v>
      </c>
      <c r="I110" s="893"/>
      <c r="J110" s="893"/>
      <c r="K110" s="893"/>
      <c r="L110" s="893"/>
      <c r="M110" s="893"/>
      <c r="N110" s="282">
        <f t="shared" ref="N110:U110" si="75">+SUM(N111:N112)</f>
        <v>63645.157193525127</v>
      </c>
      <c r="O110" s="281">
        <f t="shared" si="75"/>
        <v>63215.720029533826</v>
      </c>
      <c r="P110" s="281">
        <f t="shared" si="75"/>
        <v>63057.811125424938</v>
      </c>
      <c r="Q110" s="281">
        <f t="shared" si="75"/>
        <v>68965.995964185466</v>
      </c>
      <c r="R110" s="282">
        <f t="shared" si="75"/>
        <v>65378.053446860686</v>
      </c>
      <c r="S110" s="420">
        <f t="shared" si="75"/>
        <v>70020.46758255914</v>
      </c>
      <c r="T110" s="420">
        <f t="shared" si="75"/>
        <v>17308.155216413812</v>
      </c>
      <c r="U110" s="420">
        <f t="shared" si="75"/>
        <v>0</v>
      </c>
    </row>
    <row r="111" spans="1:21">
      <c r="A111" s="283" t="s">
        <v>218</v>
      </c>
      <c r="B111" s="283" t="s">
        <v>50</v>
      </c>
      <c r="C111" s="283" t="s">
        <v>61</v>
      </c>
      <c r="D111" s="283" t="s">
        <v>131</v>
      </c>
      <c r="E111" s="283" t="s">
        <v>133</v>
      </c>
      <c r="F111" s="283"/>
      <c r="G111" s="284">
        <v>1</v>
      </c>
      <c r="H111" s="894"/>
      <c r="I111" s="145" t="str">
        <f>+RIGHT(D111,LEN(D111)-5)</f>
        <v>General Expenses Net of Allowances</v>
      </c>
      <c r="J111" s="145"/>
      <c r="K111" s="145"/>
      <c r="L111" s="145"/>
      <c r="M111" s="145"/>
      <c r="N111" s="285">
        <v>63645.157193525127</v>
      </c>
      <c r="O111" s="284">
        <v>63215.720029533826</v>
      </c>
      <c r="P111" s="284">
        <v>63057.811125424938</v>
      </c>
      <c r="Q111" s="284">
        <v>68965.995964185466</v>
      </c>
      <c r="R111" s="285">
        <v>65378.053446860686</v>
      </c>
      <c r="S111" s="421">
        <v>70020.46758255914</v>
      </c>
      <c r="T111" s="421">
        <v>17308.155216413812</v>
      </c>
      <c r="U111" s="421">
        <v>0</v>
      </c>
    </row>
    <row r="112" spans="1:21">
      <c r="G112" s="253"/>
      <c r="N112" s="250"/>
      <c r="R112" s="250"/>
    </row>
    <row r="113" spans="1:21">
      <c r="A113" s="279"/>
      <c r="B113" s="280"/>
      <c r="C113" s="280"/>
      <c r="D113" s="280"/>
      <c r="E113" s="280"/>
      <c r="F113" s="280"/>
      <c r="G113" s="281">
        <v>1</v>
      </c>
      <c r="H113" s="893" t="str">
        <f>+I114</f>
        <v>Field Commissions</v>
      </c>
      <c r="I113" s="893"/>
      <c r="J113" s="893"/>
      <c r="K113" s="893"/>
      <c r="L113" s="893"/>
      <c r="M113" s="893"/>
      <c r="N113" s="282">
        <f t="shared" ref="N113:U113" si="76">+SUM(N114:N115)</f>
        <v>0</v>
      </c>
      <c r="O113" s="281">
        <f t="shared" si="76"/>
        <v>0</v>
      </c>
      <c r="P113" s="281">
        <f t="shared" si="76"/>
        <v>0</v>
      </c>
      <c r="Q113" s="281">
        <f t="shared" si="76"/>
        <v>0</v>
      </c>
      <c r="R113" s="282">
        <f t="shared" si="76"/>
        <v>0</v>
      </c>
      <c r="S113" s="420">
        <f t="shared" si="76"/>
        <v>0</v>
      </c>
      <c r="T113" s="420">
        <f t="shared" si="76"/>
        <v>0</v>
      </c>
      <c r="U113" s="420">
        <f t="shared" si="76"/>
        <v>0</v>
      </c>
    </row>
    <row r="114" spans="1:21">
      <c r="A114" s="283" t="s">
        <v>218</v>
      </c>
      <c r="B114" s="283" t="s">
        <v>50</v>
      </c>
      <c r="C114" s="283" t="s">
        <v>61</v>
      </c>
      <c r="D114" s="283" t="s">
        <v>222</v>
      </c>
      <c r="E114" s="283" t="s">
        <v>133</v>
      </c>
      <c r="F114" s="283"/>
      <c r="G114" s="284">
        <v>1</v>
      </c>
      <c r="H114" s="894"/>
      <c r="I114" s="145" t="str">
        <f>+RIGHT(D114,LEN(D114)-5)</f>
        <v>Field Commissions</v>
      </c>
      <c r="J114" s="145"/>
      <c r="K114" s="145"/>
      <c r="L114" s="145"/>
      <c r="M114" s="145"/>
      <c r="N114" s="285">
        <v>0</v>
      </c>
      <c r="O114" s="284">
        <v>0</v>
      </c>
      <c r="P114" s="284">
        <v>0</v>
      </c>
      <c r="Q114" s="284">
        <v>0</v>
      </c>
      <c r="R114" s="285">
        <v>0</v>
      </c>
      <c r="S114" s="421">
        <v>0</v>
      </c>
      <c r="T114" s="421">
        <v>0</v>
      </c>
      <c r="U114" s="421">
        <v>0</v>
      </c>
    </row>
    <row r="115" spans="1:21">
      <c r="G115" s="253"/>
      <c r="N115" s="250"/>
      <c r="R115" s="250"/>
    </row>
    <row r="116" spans="1:21">
      <c r="A116" s="279"/>
      <c r="B116" s="280"/>
      <c r="C116" s="280"/>
      <c r="D116" s="280"/>
      <c r="E116" s="280"/>
      <c r="F116" s="280"/>
      <c r="G116" s="281">
        <v>1</v>
      </c>
      <c r="H116" s="893" t="str">
        <f>+I117</f>
        <v>Net Interest</v>
      </c>
      <c r="I116" s="893"/>
      <c r="J116" s="893"/>
      <c r="K116" s="893"/>
      <c r="L116" s="893"/>
      <c r="M116" s="893"/>
      <c r="N116" s="282">
        <f t="shared" ref="N116:U116" si="77">+SUM(N117:N117)</f>
        <v>0</v>
      </c>
      <c r="O116" s="281">
        <f t="shared" si="77"/>
        <v>0</v>
      </c>
      <c r="P116" s="281">
        <f t="shared" si="77"/>
        <v>0</v>
      </c>
      <c r="Q116" s="281">
        <f t="shared" si="77"/>
        <v>0</v>
      </c>
      <c r="R116" s="282">
        <f t="shared" si="77"/>
        <v>0</v>
      </c>
      <c r="S116" s="420">
        <f t="shared" si="77"/>
        <v>0</v>
      </c>
      <c r="T116" s="420">
        <f t="shared" si="77"/>
        <v>0</v>
      </c>
      <c r="U116" s="420">
        <f t="shared" si="77"/>
        <v>0</v>
      </c>
    </row>
    <row r="117" spans="1:21">
      <c r="A117" s="283" t="s">
        <v>218</v>
      </c>
      <c r="B117" s="283" t="s">
        <v>50</v>
      </c>
      <c r="C117" s="283" t="s">
        <v>61</v>
      </c>
      <c r="D117" s="283" t="s">
        <v>138</v>
      </c>
      <c r="E117" s="283" t="s">
        <v>133</v>
      </c>
      <c r="F117" s="283"/>
      <c r="G117" s="284">
        <v>1</v>
      </c>
      <c r="H117" s="894"/>
      <c r="I117" s="145" t="str">
        <f>+RIGHT(D117,LEN(D117)-5)</f>
        <v>Net Interest</v>
      </c>
      <c r="J117" s="145"/>
      <c r="K117" s="145"/>
      <c r="L117" s="145"/>
      <c r="M117" s="145"/>
      <c r="N117" s="285">
        <v>0</v>
      </c>
      <c r="O117" s="284">
        <v>0</v>
      </c>
      <c r="P117" s="284">
        <v>0</v>
      </c>
      <c r="Q117" s="284">
        <v>0</v>
      </c>
      <c r="R117" s="285">
        <v>0</v>
      </c>
      <c r="S117" s="421">
        <v>0</v>
      </c>
      <c r="T117" s="421">
        <v>0</v>
      </c>
      <c r="U117" s="421">
        <v>0</v>
      </c>
    </row>
    <row r="118" spans="1:21">
      <c r="G118" s="253"/>
      <c r="N118" s="250"/>
      <c r="R118" s="250"/>
    </row>
    <row r="119" spans="1:21">
      <c r="A119" s="279"/>
      <c r="B119" s="280"/>
      <c r="C119" s="280"/>
      <c r="D119" s="280"/>
      <c r="E119" s="280"/>
      <c r="F119" s="280"/>
      <c r="G119" s="281">
        <v>1</v>
      </c>
      <c r="H119" s="893" t="str">
        <f>+H27</f>
        <v>Total direct premiums</v>
      </c>
      <c r="I119" s="893"/>
      <c r="J119" s="893"/>
      <c r="K119" s="893"/>
      <c r="L119" s="893"/>
      <c r="M119" s="893"/>
      <c r="N119" s="282">
        <f t="shared" ref="N119:U119" si="78">+N27</f>
        <v>854430.45268567186</v>
      </c>
      <c r="O119" s="281">
        <f t="shared" si="78"/>
        <v>861919.09492307692</v>
      </c>
      <c r="P119" s="281">
        <f t="shared" si="78"/>
        <v>864046.9180198072</v>
      </c>
      <c r="Q119" s="281">
        <f t="shared" si="78"/>
        <v>865138.27004663984</v>
      </c>
      <c r="R119" s="282">
        <f t="shared" si="78"/>
        <v>867202.30091844825</v>
      </c>
      <c r="S119" s="420">
        <f t="shared" si="78"/>
        <v>873604.31205804646</v>
      </c>
      <c r="T119" s="420">
        <f t="shared" si="78"/>
        <v>0</v>
      </c>
      <c r="U119" s="420">
        <f t="shared" si="78"/>
        <v>0</v>
      </c>
    </row>
    <row r="120" spans="1:21">
      <c r="A120" s="283" t="s">
        <v>218</v>
      </c>
      <c r="B120" s="283" t="s">
        <v>50</v>
      </c>
      <c r="C120" s="283" t="s">
        <v>61</v>
      </c>
      <c r="D120" s="283" t="s">
        <v>115</v>
      </c>
      <c r="E120" s="283" t="s">
        <v>133</v>
      </c>
      <c r="F120" s="283"/>
      <c r="G120" s="284">
        <v>-1</v>
      </c>
      <c r="H120" s="894"/>
      <c r="I120" s="145" t="str">
        <f>+RIGHT(D120,LEN(D120)-5)</f>
        <v>Direct Premium</v>
      </c>
      <c r="J120" s="145"/>
      <c r="K120" s="145"/>
      <c r="L120" s="145"/>
      <c r="M120" s="145"/>
      <c r="N120" s="285">
        <v>-854430.45268567174</v>
      </c>
      <c r="O120" s="284">
        <v>-861919.09492307692</v>
      </c>
      <c r="P120" s="284">
        <v>-864046.9180198072</v>
      </c>
      <c r="Q120" s="284">
        <v>-865138.27004663984</v>
      </c>
      <c r="R120" s="285">
        <v>-867202.30091844825</v>
      </c>
      <c r="S120" s="421">
        <v>-873604.31205804646</v>
      </c>
      <c r="T120" s="421">
        <v>-199186.58935935682</v>
      </c>
      <c r="U120" s="421">
        <v>0</v>
      </c>
    </row>
    <row r="121" spans="1:21" ht="14.4" thickBot="1">
      <c r="G121" s="253"/>
      <c r="I121" s="895" t="s">
        <v>224</v>
      </c>
      <c r="J121" s="895"/>
      <c r="K121" s="895"/>
      <c r="L121" s="895"/>
      <c r="M121" s="895"/>
      <c r="N121" s="289">
        <f t="shared" ref="N121:U121" si="79">+SUM(N119:N120)</f>
        <v>0</v>
      </c>
      <c r="O121" s="288">
        <f t="shared" si="79"/>
        <v>0</v>
      </c>
      <c r="P121" s="288">
        <f t="shared" si="79"/>
        <v>0</v>
      </c>
      <c r="Q121" s="288">
        <f t="shared" si="79"/>
        <v>0</v>
      </c>
      <c r="R121" s="289">
        <f t="shared" si="79"/>
        <v>0</v>
      </c>
      <c r="S121" s="422">
        <f t="shared" si="79"/>
        <v>0</v>
      </c>
      <c r="T121" s="422">
        <f t="shared" si="79"/>
        <v>-199186.58935935682</v>
      </c>
      <c r="U121" s="422">
        <f t="shared" si="79"/>
        <v>0</v>
      </c>
    </row>
    <row r="122" spans="1:21" ht="14.4" thickTop="1">
      <c r="G122" s="253"/>
      <c r="N122" s="250"/>
      <c r="R122" s="250"/>
    </row>
    <row r="123" spans="1:21">
      <c r="A123" s="279"/>
      <c r="B123" s="280"/>
      <c r="C123" s="280"/>
      <c r="D123" s="280"/>
      <c r="E123" s="280"/>
      <c r="F123" s="280"/>
      <c r="G123" s="281">
        <v>-1</v>
      </c>
      <c r="H123" s="893" t="str">
        <f>+H25</f>
        <v>Post-IPO direct premiums (4)</v>
      </c>
      <c r="I123" s="893"/>
      <c r="J123" s="893"/>
      <c r="K123" s="893"/>
      <c r="L123" s="893"/>
      <c r="M123" s="893"/>
      <c r="N123" s="282">
        <f t="shared" ref="N123:U123" si="80">+SUM(N124:N125)</f>
        <v>-538071.6033881061</v>
      </c>
      <c r="O123" s="281">
        <f t="shared" si="80"/>
        <v>-547938.30167194235</v>
      </c>
      <c r="P123" s="281">
        <f t="shared" si="80"/>
        <v>-551915.10442313517</v>
      </c>
      <c r="Q123" s="281">
        <f t="shared" si="80"/>
        <v>-554372.18684586231</v>
      </c>
      <c r="R123" s="282">
        <f t="shared" si="80"/>
        <v>-559528.53287165554</v>
      </c>
      <c r="S123" s="420">
        <f t="shared" si="80"/>
        <v>-567668.8617603142</v>
      </c>
      <c r="T123" s="420">
        <f t="shared" si="80"/>
        <v>-225012.43404234436</v>
      </c>
      <c r="U123" s="420">
        <f t="shared" si="80"/>
        <v>0</v>
      </c>
    </row>
    <row r="124" spans="1:21">
      <c r="A124" s="283" t="s">
        <v>218</v>
      </c>
      <c r="B124" s="283" t="s">
        <v>50</v>
      </c>
      <c r="C124" s="283" t="s">
        <v>61</v>
      </c>
      <c r="D124" s="283" t="s">
        <v>115</v>
      </c>
      <c r="E124" s="283" t="s">
        <v>223</v>
      </c>
      <c r="F124" s="283"/>
      <c r="G124" s="284">
        <v>-1</v>
      </c>
      <c r="H124" s="894"/>
      <c r="I124" s="145" t="str">
        <f>+RIGHT(D124,LEN(D124)-5)</f>
        <v>Direct Premium</v>
      </c>
      <c r="J124" s="145"/>
      <c r="K124" s="145"/>
      <c r="L124" s="145"/>
      <c r="M124" s="145"/>
      <c r="N124" s="285">
        <v>-538071.6033881061</v>
      </c>
      <c r="O124" s="284">
        <v>-547938.30167194235</v>
      </c>
      <c r="P124" s="284">
        <v>-551915.10442313517</v>
      </c>
      <c r="Q124" s="284">
        <v>-554372.18684586231</v>
      </c>
      <c r="R124" s="285">
        <v>-559528.53287165554</v>
      </c>
      <c r="S124" s="421">
        <v>-567668.8617603142</v>
      </c>
      <c r="T124" s="421">
        <v>-225012.43404234436</v>
      </c>
      <c r="U124" s="421">
        <v>0</v>
      </c>
    </row>
    <row r="125" spans="1:21">
      <c r="G125" s="253"/>
      <c r="N125" s="250"/>
      <c r="R125" s="250"/>
    </row>
    <row r="126" spans="1:21">
      <c r="A126" s="279"/>
      <c r="B126" s="280"/>
      <c r="C126" s="280"/>
      <c r="D126" s="280"/>
      <c r="E126" s="280"/>
      <c r="F126" s="280"/>
      <c r="G126" s="281">
        <v>-1</v>
      </c>
      <c r="H126" s="893" t="str">
        <f>+H26</f>
        <v>Pre-IPO direct premiums (5)</v>
      </c>
      <c r="I126" s="893"/>
      <c r="J126" s="893"/>
      <c r="K126" s="893"/>
      <c r="L126" s="893"/>
      <c r="M126" s="893"/>
      <c r="N126" s="282">
        <f t="shared" ref="N126:U126" si="81">+SUM(N127:N128)</f>
        <v>-316358.8492975657</v>
      </c>
      <c r="O126" s="281">
        <f t="shared" si="81"/>
        <v>-313980.79325113457</v>
      </c>
      <c r="P126" s="281">
        <f t="shared" si="81"/>
        <v>-312131.81359667203</v>
      </c>
      <c r="Q126" s="281">
        <f t="shared" si="81"/>
        <v>-310766.08320077753</v>
      </c>
      <c r="R126" s="282">
        <f t="shared" si="81"/>
        <v>-307673.76804679271</v>
      </c>
      <c r="S126" s="420">
        <f t="shared" si="81"/>
        <v>-305935.45029773226</v>
      </c>
      <c r="T126" s="420">
        <f t="shared" si="81"/>
        <v>25825.844682987565</v>
      </c>
      <c r="U126" s="420">
        <f t="shared" si="81"/>
        <v>0</v>
      </c>
    </row>
    <row r="127" spans="1:21">
      <c r="A127" s="283" t="s">
        <v>218</v>
      </c>
      <c r="B127" s="283" t="s">
        <v>50</v>
      </c>
      <c r="C127" s="283" t="s">
        <v>61</v>
      </c>
      <c r="D127" s="283" t="s">
        <v>115</v>
      </c>
      <c r="E127" s="283" t="s">
        <v>221</v>
      </c>
      <c r="F127" s="283"/>
      <c r="G127" s="284">
        <v>-1</v>
      </c>
      <c r="H127" s="894"/>
      <c r="I127" s="145" t="str">
        <f>+RIGHT(D127,LEN(D127)-5)</f>
        <v>Direct Premium</v>
      </c>
      <c r="J127" s="145"/>
      <c r="K127" s="145"/>
      <c r="L127" s="145"/>
      <c r="M127" s="145"/>
      <c r="N127" s="285">
        <v>-316358.8492975657</v>
      </c>
      <c r="O127" s="284">
        <v>-313980.79325113457</v>
      </c>
      <c r="P127" s="284">
        <v>-312131.81359667203</v>
      </c>
      <c r="Q127" s="284">
        <v>-310766.08320077753</v>
      </c>
      <c r="R127" s="285">
        <v>-307673.76804679271</v>
      </c>
      <c r="S127" s="421">
        <v>-305935.45029773226</v>
      </c>
      <c r="T127" s="421">
        <v>25825.844682987565</v>
      </c>
      <c r="U127" s="421">
        <v>0</v>
      </c>
    </row>
    <row r="128" spans="1:21">
      <c r="G128" s="253"/>
      <c r="N128" s="250"/>
      <c r="R128" s="250"/>
    </row>
    <row r="129" spans="1:21">
      <c r="A129" s="279"/>
      <c r="B129" s="280"/>
      <c r="C129" s="280"/>
      <c r="D129" s="280"/>
      <c r="E129" s="280"/>
      <c r="F129" s="280"/>
      <c r="G129" s="281">
        <v>1</v>
      </c>
      <c r="H129" s="893" t="str">
        <f>+H22</f>
        <v>Income before income taxes</v>
      </c>
      <c r="I129" s="893"/>
      <c r="J129" s="893"/>
      <c r="K129" s="893"/>
      <c r="L129" s="893"/>
      <c r="M129" s="893"/>
      <c r="N129" s="282">
        <f t="shared" ref="N129:U129" si="82">+N22</f>
        <v>146785.26878898067</v>
      </c>
      <c r="O129" s="281">
        <f t="shared" si="82"/>
        <v>155012.4369934072</v>
      </c>
      <c r="P129" s="281">
        <f t="shared" si="82"/>
        <v>172684.28050388623</v>
      </c>
      <c r="Q129" s="281">
        <f t="shared" si="82"/>
        <v>146578.49960695195</v>
      </c>
      <c r="R129" s="282">
        <f t="shared" si="82"/>
        <v>154859.10336638498</v>
      </c>
      <c r="S129" s="420">
        <f t="shared" si="82"/>
        <v>148480.41131150792</v>
      </c>
      <c r="T129" s="420">
        <f t="shared" si="82"/>
        <v>0</v>
      </c>
      <c r="U129" s="420">
        <f t="shared" si="82"/>
        <v>0</v>
      </c>
    </row>
    <row r="130" spans="1:21">
      <c r="A130" s="283" t="s">
        <v>218</v>
      </c>
      <c r="B130" s="283" t="s">
        <v>50</v>
      </c>
      <c r="C130" s="283" t="s">
        <v>61</v>
      </c>
      <c r="D130" s="283" t="s">
        <v>147</v>
      </c>
      <c r="E130" s="283" t="s">
        <v>133</v>
      </c>
      <c r="F130" s="283"/>
      <c r="G130" s="284">
        <v>-1</v>
      </c>
      <c r="H130" s="894"/>
      <c r="I130" s="145" t="str">
        <f>+RIGHT(D130,LEN(D130)-5)</f>
        <v>Pre tax from Continuing Ops</v>
      </c>
      <c r="J130" s="145"/>
      <c r="K130" s="145"/>
      <c r="L130" s="145"/>
      <c r="M130" s="145"/>
      <c r="N130" s="285">
        <v>-146785.26878898067</v>
      </c>
      <c r="O130" s="284">
        <v>-155012.43699340709</v>
      </c>
      <c r="P130" s="284">
        <v>-172684.28050388626</v>
      </c>
      <c r="Q130" s="284">
        <v>-146578.49960695204</v>
      </c>
      <c r="R130" s="285">
        <v>-154859.10336638498</v>
      </c>
      <c r="S130" s="421">
        <v>-148480.41131150778</v>
      </c>
      <c r="T130" s="421">
        <v>-1013665.8512407377</v>
      </c>
      <c r="U130" s="421">
        <v>0</v>
      </c>
    </row>
    <row r="131" spans="1:21" ht="14.4" thickBot="1">
      <c r="G131" s="253"/>
      <c r="I131" s="895" t="s">
        <v>740</v>
      </c>
      <c r="J131" s="895"/>
      <c r="K131" s="895"/>
      <c r="L131" s="895"/>
      <c r="M131" s="895"/>
      <c r="N131" s="289">
        <f t="shared" ref="N131:U131" si="83">+SUM(N129:N130)</f>
        <v>0</v>
      </c>
      <c r="O131" s="288">
        <f t="shared" si="83"/>
        <v>0</v>
      </c>
      <c r="P131" s="288">
        <f t="shared" si="83"/>
        <v>0</v>
      </c>
      <c r="Q131" s="288">
        <f t="shared" si="83"/>
        <v>0</v>
      </c>
      <c r="R131" s="289">
        <f t="shared" si="83"/>
        <v>0</v>
      </c>
      <c r="S131" s="422">
        <f t="shared" si="83"/>
        <v>0</v>
      </c>
      <c r="T131" s="422">
        <f t="shared" si="83"/>
        <v>-1013665.8512407377</v>
      </c>
      <c r="U131" s="422">
        <f t="shared" si="83"/>
        <v>0</v>
      </c>
    </row>
    <row r="132" spans="1:21" ht="14.4" thickTop="1">
      <c r="G132" s="253"/>
    </row>
    <row r="133" spans="1:21">
      <c r="G133" s="253"/>
    </row>
    <row r="134" spans="1:21">
      <c r="G134" s="253"/>
    </row>
  </sheetData>
  <sheetProtection formatCells="0"/>
  <mergeCells count="44">
    <mergeCell ref="H49:AG49"/>
    <mergeCell ref="H50:AG50"/>
    <mergeCell ref="H51:AG51"/>
    <mergeCell ref="H41:M41"/>
    <mergeCell ref="H42:M42"/>
    <mergeCell ref="H46:AG46"/>
    <mergeCell ref="H47:AG47"/>
    <mergeCell ref="H48:AG48"/>
    <mergeCell ref="H32:M32"/>
    <mergeCell ref="H33:M33"/>
    <mergeCell ref="H35:M35"/>
    <mergeCell ref="H22:M22"/>
    <mergeCell ref="H10:M10"/>
    <mergeCell ref="H11:M11"/>
    <mergeCell ref="H12:M12"/>
    <mergeCell ref="H13:M13"/>
    <mergeCell ref="H16:M16"/>
    <mergeCell ref="H18:M18"/>
    <mergeCell ref="H19:M19"/>
    <mergeCell ref="H20:M20"/>
    <mergeCell ref="H21:M21"/>
    <mergeCell ref="H17:M17"/>
    <mergeCell ref="H15:M15"/>
    <mergeCell ref="H1:AB1"/>
    <mergeCell ref="AC1:AG1"/>
    <mergeCell ref="G4:M4"/>
    <mergeCell ref="G5:M5"/>
    <mergeCell ref="H6:M6"/>
    <mergeCell ref="H52:AG52"/>
    <mergeCell ref="H53:AG53"/>
    <mergeCell ref="H9:M9"/>
    <mergeCell ref="X3:Y3"/>
    <mergeCell ref="AF3:AG3"/>
    <mergeCell ref="H7:M7"/>
    <mergeCell ref="H8:M8"/>
    <mergeCell ref="H36:M36"/>
    <mergeCell ref="H38:M38"/>
    <mergeCell ref="H39:M39"/>
    <mergeCell ref="G24:M24"/>
    <mergeCell ref="H25:M25"/>
    <mergeCell ref="H26:M26"/>
    <mergeCell ref="H27:M27"/>
    <mergeCell ref="H29:M29"/>
    <mergeCell ref="H30:M30"/>
  </mergeCells>
  <conditionalFormatting sqref="N69:U69">
    <cfRule type="cellIs" dxfId="3" priority="2" operator="equal">
      <formula>"ERROR"</formula>
    </cfRule>
  </conditionalFormatting>
  <pageMargins left="0.15" right="0.15" top="0.15" bottom="0.15" header="0" footer="0.15"/>
  <pageSetup scale="63"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747-FA5B-4F10-8BA2-F2EA608A73BA}">
  <sheetPr>
    <pageSetUpPr fitToPage="1"/>
  </sheetPr>
  <dimension ref="A1:AM42"/>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7" width="4.109375" style="892" customWidth="1"/>
    <col min="8" max="12" width="4.109375" style="146" customWidth="1"/>
    <col min="13" max="13" width="42.5546875" style="146" customWidth="1"/>
    <col min="14" max="18" width="11" style="146" bestFit="1" customWidth="1"/>
    <col min="19" max="21" width="11" style="294" bestFit="1" customWidth="1"/>
    <col min="22" max="23" width="0.88671875" style="146" customWidth="1"/>
    <col min="24" max="24" width="10.88671875" style="146" customWidth="1"/>
    <col min="25" max="25" width="8.88671875" style="641" bestFit="1" customWidth="1"/>
    <col min="26" max="27" width="0.88671875" style="146" customWidth="1"/>
    <col min="28" max="29" width="11" style="146" bestFit="1" customWidth="1"/>
    <col min="30" max="31" width="0.88671875" style="146" customWidth="1"/>
    <col min="32" max="32" width="10.88671875" style="146" customWidth="1"/>
    <col min="33" max="33" width="8.88671875" style="641" bestFit="1"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675</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U2" s="683"/>
      <c r="Y2" s="684"/>
      <c r="AG2" s="684"/>
      <c r="AH2" s="661"/>
    </row>
    <row r="3" spans="1:39" s="654" customFormat="1" ht="14.4">
      <c r="A3" s="656"/>
      <c r="B3" s="656"/>
      <c r="C3" s="656"/>
      <c r="D3" s="656"/>
      <c r="E3" s="656"/>
      <c r="F3" s="656"/>
      <c r="G3" s="892"/>
      <c r="H3" s="146"/>
      <c r="I3" s="146"/>
      <c r="J3" s="146"/>
      <c r="K3" s="146"/>
      <c r="L3" s="146"/>
      <c r="M3" s="146"/>
      <c r="N3" s="739"/>
      <c r="O3" s="739"/>
      <c r="P3" s="739"/>
      <c r="Q3" s="739"/>
      <c r="R3" s="739"/>
      <c r="S3" s="740"/>
      <c r="T3" s="740"/>
      <c r="U3" s="740"/>
      <c r="V3" s="702"/>
      <c r="W3" s="655"/>
      <c r="X3" s="1145" t="str">
        <f>+_xlfn.CONCAT("YOY ",LEFT(Manual!$D$1,2))</f>
        <v>YOY Q2</v>
      </c>
      <c r="Y3" s="1145"/>
      <c r="Z3" s="741"/>
      <c r="AA3" s="655"/>
      <c r="AB3" s="739"/>
      <c r="AC3" s="739"/>
      <c r="AD3" s="702"/>
      <c r="AE3" s="655"/>
      <c r="AF3" s="1145" t="s">
        <v>153</v>
      </c>
      <c r="AG3" s="1145"/>
      <c r="AH3" s="661"/>
    </row>
    <row r="4" spans="1:39" s="654" customFormat="1" ht="28.2">
      <c r="A4" s="656"/>
      <c r="B4" s="656"/>
      <c r="C4" s="656"/>
      <c r="D4" s="656"/>
      <c r="E4" s="656"/>
      <c r="F4" s="656"/>
      <c r="G4" s="1144"/>
      <c r="H4" s="1144"/>
      <c r="I4" s="1144"/>
      <c r="J4" s="1144"/>
      <c r="K4" s="1144"/>
      <c r="L4" s="1144"/>
      <c r="M4" s="1144"/>
      <c r="N4" s="663" t="str">
        <f>+IS!N4</f>
        <v>Q1
2025</v>
      </c>
      <c r="O4" s="662" t="str">
        <f>+IS!O4</f>
        <v>Q2
2025</v>
      </c>
      <c r="P4" s="662" t="str">
        <f>+IS!P4</f>
        <v>Q3
2025</v>
      </c>
      <c r="Q4" s="662" t="str">
        <f>+IS!Q4</f>
        <v>Q4
2025</v>
      </c>
      <c r="R4" s="663" t="str">
        <f>+IS!R4</f>
        <v>Q1
2026</v>
      </c>
      <c r="S4" s="662" t="str">
        <f>+IS!S4</f>
        <v>Q2
2026</v>
      </c>
      <c r="T4" s="662" t="str">
        <f>+IS!T4</f>
        <v>Q3
2026</v>
      </c>
      <c r="U4" s="662" t="str">
        <f>+IS!U4</f>
        <v>Q4
2026</v>
      </c>
      <c r="V4" s="686"/>
      <c r="W4" s="655"/>
      <c r="X4" s="662" t="s">
        <v>151</v>
      </c>
      <c r="Y4" s="662" t="s">
        <v>152</v>
      </c>
      <c r="Z4" s="741"/>
      <c r="AA4" s="655"/>
      <c r="AB4" s="662" t="str">
        <f>+_xlfn.CONCAT("YTD ",RIGHT(Q4,4))</f>
        <v>YTD 2025</v>
      </c>
      <c r="AC4" s="662" t="str">
        <f>+_xlfn.CONCAT("YTD ",RIGHT(U4,4))</f>
        <v>YTD 2026</v>
      </c>
      <c r="AD4" s="686"/>
      <c r="AE4" s="655"/>
      <c r="AF4" s="662" t="s">
        <v>151</v>
      </c>
      <c r="AG4" s="662" t="s">
        <v>152</v>
      </c>
      <c r="AH4" s="661"/>
    </row>
    <row r="5" spans="1:39" ht="15" customHeight="1">
      <c r="G5" s="1135" t="s">
        <v>226</v>
      </c>
      <c r="H5" s="1135"/>
      <c r="I5" s="1135"/>
      <c r="J5" s="1135"/>
      <c r="K5" s="1135"/>
      <c r="L5" s="1135"/>
      <c r="M5" s="1135"/>
      <c r="N5" s="149"/>
      <c r="O5" s="150"/>
      <c r="P5" s="150"/>
      <c r="Q5" s="150"/>
      <c r="R5" s="149"/>
      <c r="S5" s="150"/>
      <c r="T5" s="150"/>
      <c r="U5" s="150"/>
      <c r="V5" s="258"/>
      <c r="W5" s="147"/>
      <c r="X5" s="150"/>
      <c r="Y5" s="642"/>
      <c r="Z5" s="299"/>
      <c r="AA5" s="147"/>
      <c r="AB5" s="150"/>
      <c r="AC5" s="150"/>
      <c r="AD5" s="258"/>
      <c r="AE5" s="147"/>
      <c r="AF5" s="150"/>
      <c r="AG5" s="642"/>
      <c r="AH5"/>
    </row>
    <row r="6" spans="1:39" ht="14.4">
      <c r="G6" s="980"/>
      <c r="H6" s="981"/>
      <c r="I6" s="981"/>
      <c r="J6" s="981"/>
      <c r="K6" s="981"/>
      <c r="L6" s="981"/>
      <c r="N6" s="311"/>
      <c r="O6" s="310"/>
      <c r="P6" s="310"/>
      <c r="Q6" s="310"/>
      <c r="R6" s="311"/>
      <c r="S6" s="312"/>
      <c r="T6" s="312"/>
      <c r="U6" s="312"/>
      <c r="V6" s="258"/>
      <c r="W6" s="147"/>
      <c r="X6" s="310"/>
      <c r="Y6" s="652"/>
      <c r="Z6" s="313"/>
      <c r="AA6" s="310"/>
      <c r="AB6" s="310"/>
      <c r="AC6" s="310"/>
      <c r="AD6" s="258"/>
      <c r="AE6" s="147"/>
      <c r="AF6" s="310"/>
      <c r="AG6" s="652"/>
      <c r="AH6"/>
    </row>
    <row r="7" spans="1:39" s="636" customFormat="1" ht="15" customHeight="1">
      <c r="A7" s="626"/>
      <c r="B7" s="626"/>
      <c r="C7" s="626"/>
      <c r="D7" s="626"/>
      <c r="E7" s="626"/>
      <c r="F7" s="626"/>
      <c r="G7" s="1133" t="s">
        <v>227</v>
      </c>
      <c r="H7" s="1133"/>
      <c r="I7" s="1133"/>
      <c r="J7" s="1133"/>
      <c r="K7" s="1133"/>
      <c r="L7" s="1133"/>
      <c r="M7" s="1133"/>
      <c r="N7" s="630">
        <f>+SUMIF(Manual!$2:$2,N$4,Manual!$26:$26)</f>
        <v>151611</v>
      </c>
      <c r="O7" s="629">
        <f>+SUMIF(Manual!$2:$2,O$4,Manual!$26:$26)</f>
        <v>152167</v>
      </c>
      <c r="P7" s="629">
        <f>+SUMIF(Manual!$2:$2,P$4,Manual!$26:$26)</f>
        <v>152592</v>
      </c>
      <c r="Q7" s="629">
        <f>+SUMIF(Manual!$2:$2,Q$4,Manual!$26:$26)</f>
        <v>152200</v>
      </c>
      <c r="R7" s="630">
        <f>+SUMIF(Manual!$2:$2,R$4,Manual!$26:$26)</f>
        <v>151524</v>
      </c>
      <c r="S7" s="629">
        <f>+SUMIF(Manual!$2:$2,S$4,Manual!$26:$26)</f>
        <v>149732</v>
      </c>
      <c r="T7" s="629"/>
      <c r="U7" s="629"/>
      <c r="V7" s="631"/>
      <c r="W7" s="634"/>
      <c r="X7" s="629">
        <f>+SUMIF($N$4:$U$4,$B$1,$N7:$U7)-SUMIF($N$4:$U$4,$A$1,$N7:$U7)</f>
        <v>-2435</v>
      </c>
      <c r="Y7" s="902">
        <f>IF(OR(ABS(IF(X7&lt;0,-ABS(X7/SUMIF($N$4:$U$4,$A$1,$N7:$U7)),ABS(X7/SUMIF($N$4:$U$4,$A$1,$N7:$U7))))&lt;minvar,ABS(IF(X7&lt;0,-ABS(X7/SUMIF($N$4:$U$4,$A$1,$N7:$U7)),ABS(X7/SUMIF($N$4:$U$4,$A$1,$N7:$U7))))&gt;maxvar)=TRUE,"nm",IF(X7&lt;0,-ABS(X7/SUMIF($N$4:$U$4,$A$1,$N7:$U7)),ABS(X7/SUMIF($N$4:$U$4,$A$1,$N7:$U7))))</f>
        <v>-1.6002155526493918E-2</v>
      </c>
      <c r="Z7" s="718"/>
      <c r="AA7" s="634"/>
      <c r="AB7" s="629">
        <f>N7</f>
        <v>151611</v>
      </c>
      <c r="AC7" s="629">
        <f>R7</f>
        <v>151524</v>
      </c>
      <c r="AD7" s="631"/>
      <c r="AE7" s="634"/>
      <c r="AF7" s="629">
        <f>+$AC7-$AB7</f>
        <v>-87</v>
      </c>
      <c r="AG7" s="902">
        <f>IF(OR(ABS(IF(AF7&lt;0,-ABS(AF7/$AB7),ABS(AF7/$AB7)))&lt;minvar,ABS(IF(AF7&lt;0,-ABS(AF7/$AB7),ABS(AF7/$AB7)))&gt;maxvar)=TRUE,"nm",IF(AF7&lt;0,-ABS(AF7/$AB7),ABS(AF7/$AB7)))</f>
        <v>-5.7383699071967078E-4</v>
      </c>
      <c r="AH7" s="635"/>
    </row>
    <row r="8" spans="1:39" s="636" customFormat="1" ht="15" customHeight="1">
      <c r="A8" s="626"/>
      <c r="B8" s="626"/>
      <c r="C8" s="626"/>
      <c r="D8" s="626"/>
      <c r="E8" s="626"/>
      <c r="F8" s="626"/>
      <c r="G8" s="982"/>
      <c r="H8" s="1133" t="s">
        <v>228</v>
      </c>
      <c r="I8" s="1133"/>
      <c r="J8" s="1133"/>
      <c r="K8" s="1133"/>
      <c r="L8" s="1133"/>
      <c r="M8" s="1133"/>
      <c r="N8" s="630">
        <f>+SUMIF(Manual!$2:$2,N$4,Manual!$27:$27)</f>
        <v>12339</v>
      </c>
      <c r="O8" s="629">
        <f>+SUMIF(Manual!$2:$2,O$4,Manual!$27:$27)</f>
        <v>12903</v>
      </c>
      <c r="P8" s="629">
        <f>+SUMIF(Manual!$2:$2,P$4,Manual!$27:$27)</f>
        <v>12482</v>
      </c>
      <c r="Q8" s="629">
        <f>+SUMIF(Manual!$2:$2,Q$4,Manual!$27:$27)</f>
        <v>10998</v>
      </c>
      <c r="R8" s="630">
        <f>+SUMIF(Manual!$2:$2,R$4,Manual!$27:$27)</f>
        <v>10569</v>
      </c>
      <c r="S8" s="629">
        <f>+SUMIF(Manual!$2:$2,S$4,Manual!$27:$27)</f>
        <v>11020</v>
      </c>
      <c r="T8" s="629"/>
      <c r="U8" s="629"/>
      <c r="V8" s="631"/>
      <c r="W8" s="634"/>
      <c r="X8" s="629">
        <f>+SUMIF($N$4:$U$4,$B$1,$N8:$U8)-SUMIF($N$4:$U$4,$A$1,$N8:$U8)</f>
        <v>-1883</v>
      </c>
      <c r="Y8" s="902">
        <f>IF(OR(ABS(IF(X8&lt;0,-ABS(X8/SUMIF($N$4:$U$4,$A$1,$N8:$U8)),ABS(X8/SUMIF($N$4:$U$4,$A$1,$N8:$U8))))&lt;minvar,ABS(IF(X8&lt;0,-ABS(X8/SUMIF($N$4:$U$4,$A$1,$N8:$U8)),ABS(X8/SUMIF($N$4:$U$4,$A$1,$N8:$U8))))&gt;maxvar)=TRUE,"nm",IF(X8&lt;0,-ABS(X8/SUMIF($N$4:$U$4,$A$1,$N8:$U8)),ABS(X8/SUMIF($N$4:$U$4,$A$1,$N8:$U8))))</f>
        <v>-0.1459350538634426</v>
      </c>
      <c r="Z8" s="718"/>
      <c r="AA8" s="634"/>
      <c r="AB8" s="629">
        <f>+SUMIF($N$42:$Q$42,"Yes",$N8:$Q8)</f>
        <v>25242</v>
      </c>
      <c r="AC8" s="629">
        <f>+SUMIF($R$42:$U$42,"Yes",$R8:$U8)</f>
        <v>21589</v>
      </c>
      <c r="AD8" s="631"/>
      <c r="AE8" s="634"/>
      <c r="AF8" s="629">
        <f t="shared" ref="AF8:AF10" si="0">+$AC8-$AB8</f>
        <v>-3653</v>
      </c>
      <c r="AG8" s="902">
        <f>IF(OR(ABS(IF(AF8&lt;0,-ABS(AF8/$AB8),ABS(AF8/$AB8)))&lt;minvar,ABS(IF(AF8&lt;0,-ABS(AF8/$AB8),ABS(AF8/$AB8)))&gt;maxvar)=TRUE,"nm",IF(AF8&lt;0,-ABS(AF8/$AB8),ABS(AF8/$AB8)))</f>
        <v>-0.14471911892876951</v>
      </c>
      <c r="AH8" s="635"/>
    </row>
    <row r="9" spans="1:39" s="636" customFormat="1" ht="15" customHeight="1">
      <c r="A9" s="626"/>
      <c r="B9" s="626"/>
      <c r="C9" s="626"/>
      <c r="D9" s="626"/>
      <c r="E9" s="626"/>
      <c r="F9" s="626"/>
      <c r="G9" s="982"/>
      <c r="H9" s="1133" t="s">
        <v>229</v>
      </c>
      <c r="I9" s="1133"/>
      <c r="J9" s="1133"/>
      <c r="K9" s="1133"/>
      <c r="L9" s="1133"/>
      <c r="M9" s="1133"/>
      <c r="N9" s="630">
        <f>+SUMIF(Manual!$2:$2,N$4,Manual!$28:$28)</f>
        <v>-11783</v>
      </c>
      <c r="O9" s="629">
        <f>+SUMIF(Manual!$2:$2,O$4,Manual!$28:$28)</f>
        <v>-12478</v>
      </c>
      <c r="P9" s="629">
        <f>+SUMIF(Manual!$2:$2,P$4,Manual!$28:$28)</f>
        <v>-12874</v>
      </c>
      <c r="Q9" s="629">
        <f>+SUMIF(Manual!$2:$2,Q$4,Manual!$28:$28)</f>
        <v>-11674</v>
      </c>
      <c r="R9" s="630">
        <f>+SUMIF(Manual!$2:$2,R$4,Manual!$28:$28)</f>
        <v>-12361</v>
      </c>
      <c r="S9" s="629">
        <f>+SUMIF(Manual!$2:$2,S$4,Manual!$28:$28)</f>
        <v>-12140</v>
      </c>
      <c r="T9" s="629"/>
      <c r="U9" s="629"/>
      <c r="V9" s="631"/>
      <c r="W9" s="634"/>
      <c r="X9" s="629">
        <f>+SUMIF($N$4:$U$4,$B$1,$N9:$U9)-SUMIF($N$4:$U$4,$A$1,$N9:$U9)</f>
        <v>338</v>
      </c>
      <c r="Y9" s="902">
        <f>IF(OR(ABS(IF(X9&lt;0,-ABS(X9/SUMIF($N$4:$U$4,$A$1,$N9:$U9)),ABS(X9/SUMIF($N$4:$U$4,$A$1,$N9:$U9))))&lt;minvar,ABS(IF(X9&lt;0,-ABS(X9/SUMIF($N$4:$U$4,$A$1,$N9:$U9)),ABS(X9/SUMIF($N$4:$U$4,$A$1,$N9:$U9))))&gt;maxvar)=TRUE,"nm",IF(X9&lt;0,-ABS(X9/SUMIF($N$4:$U$4,$A$1,$N9:$U9)),ABS(X9/SUMIF($N$4:$U$4,$A$1,$N9:$U9))))</f>
        <v>2.7087674306779934E-2</v>
      </c>
      <c r="Z9" s="718"/>
      <c r="AA9" s="634"/>
      <c r="AB9" s="629">
        <f>+SUMIF($N$42:$Q$42,"Yes",$N9:$Q9)</f>
        <v>-24261</v>
      </c>
      <c r="AC9" s="629">
        <f>+SUMIF($R$42:$U$42,"Yes",$R9:$U9)</f>
        <v>-24501</v>
      </c>
      <c r="AD9" s="631"/>
      <c r="AE9" s="634"/>
      <c r="AF9" s="629">
        <f t="shared" si="0"/>
        <v>-240</v>
      </c>
      <c r="AG9" s="902">
        <f>IF(OR(ABS(IF(AF9&lt;0,-ABS(AF9/$AB9),ABS(AF9/$AB9)))&lt;minvar,ABS(IF(AF9&lt;0,-ABS(AF9/$AB9),ABS(AF9/$AB9)))&gt;maxvar)=TRUE,"nm",IF(AF9&lt;0,-ABS(AF9/$AB9),ABS(AF9/$AB9)))</f>
        <v>-9.892419933226166E-3</v>
      </c>
      <c r="AH9" s="635"/>
    </row>
    <row r="10" spans="1:39" s="636" customFormat="1" ht="15" customHeight="1" thickBot="1">
      <c r="A10" s="626"/>
      <c r="B10" s="626"/>
      <c r="C10" s="626"/>
      <c r="D10" s="626"/>
      <c r="E10" s="626"/>
      <c r="F10" s="626"/>
      <c r="G10" s="1133" t="s">
        <v>230</v>
      </c>
      <c r="H10" s="1133"/>
      <c r="I10" s="1133"/>
      <c r="J10" s="1133"/>
      <c r="K10" s="1133"/>
      <c r="L10" s="1133"/>
      <c r="M10" s="1133"/>
      <c r="N10" s="720">
        <f t="shared" ref="N10:Q10" si="1">+SUM(N7:N9)</f>
        <v>152167</v>
      </c>
      <c r="O10" s="719">
        <f t="shared" si="1"/>
        <v>152592</v>
      </c>
      <c r="P10" s="719">
        <f t="shared" si="1"/>
        <v>152200</v>
      </c>
      <c r="Q10" s="719">
        <f t="shared" si="1"/>
        <v>151524</v>
      </c>
      <c r="R10" s="720">
        <f t="shared" ref="R10:S10" si="2">+SUM(R7:R9)</f>
        <v>149732</v>
      </c>
      <c r="S10" s="719">
        <f t="shared" si="2"/>
        <v>148612</v>
      </c>
      <c r="T10" s="719"/>
      <c r="U10" s="719"/>
      <c r="V10" s="714"/>
      <c r="W10" s="634"/>
      <c r="X10" s="719">
        <f>+SUMIF($N$4:$U$4,$B$1,$N10:$U10)-SUMIF($N$4:$U$4,$A$1,$N10:$U10)</f>
        <v>-3980</v>
      </c>
      <c r="Y10" s="905">
        <f>IF(OR(ABS(IF(X10&lt;0,-ABS(X10/SUMIF($N$4:$U$4,$A$1,$N10:$U10)),ABS(X10/SUMIF($N$4:$U$4,$A$1,$N10:$U10))))&lt;minvar,ABS(IF(X10&lt;0,-ABS(X10/SUMIF($N$4:$U$4,$A$1,$N10:$U10)),ABS(X10/SUMIF($N$4:$U$4,$A$1,$N10:$U10))))&gt;maxvar)=TRUE,"nm",IF(X10&lt;0,-ABS(X10/SUMIF($N$4:$U$4,$A$1,$N10:$U10)),ABS(X10/SUMIF($N$4:$U$4,$A$1,$N10:$U10))))</f>
        <v>-2.6082625563594423E-2</v>
      </c>
      <c r="Z10" s="718"/>
      <c r="AA10" s="634"/>
      <c r="AB10" s="719">
        <f>+SUM(AB7:AB9)</f>
        <v>152592</v>
      </c>
      <c r="AC10" s="719">
        <f>+SUM(AC7:AC9)</f>
        <v>148612</v>
      </c>
      <c r="AD10" s="714"/>
      <c r="AE10" s="634"/>
      <c r="AF10" s="719">
        <f t="shared" si="0"/>
        <v>-3980</v>
      </c>
      <c r="AG10" s="905">
        <f>IF(OR(ABS(IF(AF10&lt;0,-ABS(AF10/$AB10),ABS(AF10/$AB10)))&lt;minvar,ABS(IF(AF10&lt;0,-ABS(AF10/$AB10),ABS(AF10/$AB10)))&gt;maxvar)=TRUE,"nm",IF(AF10&lt;0,-ABS(AF10/$AB10),ABS(AF10/$AB10)))</f>
        <v>-2.6082625563594423E-2</v>
      </c>
      <c r="AH10" s="635"/>
    </row>
    <row r="11" spans="1:39" s="636" customFormat="1" ht="15" thickTop="1">
      <c r="A11" s="626"/>
      <c r="B11" s="626"/>
      <c r="C11" s="626"/>
      <c r="D11" s="626"/>
      <c r="E11" s="626"/>
      <c r="F11" s="626"/>
      <c r="G11" s="963"/>
      <c r="H11" s="964"/>
      <c r="I11" s="964"/>
      <c r="J11" s="964"/>
      <c r="K11" s="964"/>
      <c r="L11" s="964"/>
      <c r="M11" s="146"/>
      <c r="N11" s="630"/>
      <c r="O11" s="629"/>
      <c r="P11" s="629"/>
      <c r="Q11" s="629"/>
      <c r="R11" s="630"/>
      <c r="S11" s="629"/>
      <c r="T11" s="629"/>
      <c r="U11" s="629"/>
      <c r="V11" s="714"/>
      <c r="W11" s="634"/>
      <c r="X11" s="629"/>
      <c r="Y11" s="926"/>
      <c r="Z11" s="718"/>
      <c r="AA11" s="634"/>
      <c r="AB11" s="629"/>
      <c r="AC11" s="629"/>
      <c r="AD11" s="714"/>
      <c r="AE11" s="634"/>
      <c r="AF11" s="629"/>
      <c r="AG11" s="926"/>
      <c r="AH11" s="635"/>
    </row>
    <row r="12" spans="1:39" s="636" customFormat="1" ht="15" customHeight="1">
      <c r="A12" s="626"/>
      <c r="B12" s="626"/>
      <c r="C12" s="626"/>
      <c r="D12" s="626"/>
      <c r="E12" s="626"/>
      <c r="F12" s="626"/>
      <c r="G12" s="1133" t="s">
        <v>231</v>
      </c>
      <c r="H12" s="1133"/>
      <c r="I12" s="1133"/>
      <c r="J12" s="1133"/>
      <c r="K12" s="1133"/>
      <c r="L12" s="1133"/>
      <c r="M12" s="1133"/>
      <c r="N12" s="630"/>
      <c r="O12" s="629"/>
      <c r="P12" s="629"/>
      <c r="Q12" s="629"/>
      <c r="R12" s="630"/>
      <c r="S12" s="629"/>
      <c r="T12" s="629"/>
      <c r="U12" s="629"/>
      <c r="V12" s="714"/>
      <c r="W12" s="634"/>
      <c r="X12" s="629"/>
      <c r="Y12" s="926"/>
      <c r="Z12" s="718"/>
      <c r="AA12" s="634"/>
      <c r="AB12" s="629"/>
      <c r="AC12" s="629"/>
      <c r="AD12" s="714"/>
      <c r="AE12" s="634"/>
      <c r="AF12" s="629"/>
      <c r="AG12" s="926"/>
      <c r="AH12" s="635"/>
    </row>
    <row r="13" spans="1:39" s="728" customFormat="1" ht="15" customHeight="1">
      <c r="A13" s="721"/>
      <c r="B13" s="721"/>
      <c r="C13" s="721"/>
      <c r="D13" s="721"/>
      <c r="E13" s="721"/>
      <c r="F13" s="721"/>
      <c r="G13" s="982"/>
      <c r="H13" s="1133" t="s">
        <v>232</v>
      </c>
      <c r="I13" s="1133"/>
      <c r="J13" s="1133"/>
      <c r="K13" s="1133"/>
      <c r="L13" s="1133"/>
      <c r="M13" s="1133"/>
      <c r="N13" s="723">
        <f>+SUMIF(Manual!$2:$2,N$4,Manual!$32:$32)</f>
        <v>74.435000000000002</v>
      </c>
      <c r="O13" s="722">
        <f>+SUMIF(Manual!$2:$2,O$4,Manual!$32:$32)</f>
        <v>78.501999999999995</v>
      </c>
      <c r="P13" s="722">
        <f>+SUMIF(Manual!$2:$2,P$4,Manual!$32:$32)</f>
        <v>69.802999999999997</v>
      </c>
      <c r="Q13" s="722">
        <f>+SUMIF(Manual!$2:$2,Q$4,Manual!$32:$32)</f>
        <v>67.123000000000005</v>
      </c>
      <c r="R13" s="723">
        <f>+SUMIF(Manual!$2:$2,R$4,Manual!$32:$32)</f>
        <v>64.875</v>
      </c>
      <c r="S13" s="722">
        <f>+SUMIF(Manual!$2:$2,S$4,Manual!$32:$32)</f>
        <v>70.332999999999998</v>
      </c>
      <c r="T13" s="722"/>
      <c r="U13" s="722"/>
      <c r="V13" s="724"/>
      <c r="W13" s="725"/>
      <c r="X13" s="722">
        <f>+SUMIF($N$4:$U$4,$B$1,$N13:$U13)-SUMIF($N$4:$U$4,$A$1,$N13:$U13)</f>
        <v>-8.1689999999999969</v>
      </c>
      <c r="Y13" s="926">
        <f>IF(OR(ABS(IF(X13&lt;0,-ABS(X13/SUMIF($N$4:$U$4,$A$1,$N13:$U13)),ABS(X13/SUMIF($N$4:$U$4,$A$1,$N13:$U13))))&lt;minvar,ABS(IF(X13&lt;0,-ABS(X13/SUMIF($N$4:$U$4,$A$1,$N13:$U13)),ABS(X13/SUMIF($N$4:$U$4,$A$1,$N13:$U13))))&gt;maxvar)=TRUE,"nm",IF(X13&lt;0,-ABS(X13/SUMIF($N$4:$U$4,$A$1,$N13:$U13)),ABS(X13/SUMIF($N$4:$U$4,$A$1,$N13:$U13))))</f>
        <v>-0.10406104303075078</v>
      </c>
      <c r="Z13" s="726"/>
      <c r="AA13" s="725"/>
      <c r="AB13" s="722">
        <f>+SUMIF($N$42:$Q$42,"Yes",$N13:$Q13)</f>
        <v>152.93700000000001</v>
      </c>
      <c r="AC13" s="722">
        <f>+SUMIF($R$42:$U$42,"Yes",$R13:$U13)</f>
        <v>135.208</v>
      </c>
      <c r="AD13" s="724"/>
      <c r="AE13" s="725"/>
      <c r="AF13" s="722">
        <f t="shared" ref="AF13:AF15" si="3">+$AC13-$AB13</f>
        <v>-17.729000000000013</v>
      </c>
      <c r="AG13" s="926">
        <f>IF(OR(ABS(IF(AF13&lt;0,-ABS(AF13/$AB13),ABS(AF13/$AB13)))&lt;minvar,ABS(IF(AF13&lt;0,-ABS(AF13/$AB13),ABS(AF13/$AB13)))&gt;maxvar)=TRUE,"nm",IF(AF13&lt;0,-ABS(AF13/$AB13),ABS(AF13/$AB13)))</f>
        <v>-0.11592355022002532</v>
      </c>
      <c r="AH13" s="727"/>
      <c r="AJ13" s="636"/>
      <c r="AK13" s="636"/>
      <c r="AL13" s="636"/>
      <c r="AM13" s="636"/>
    </row>
    <row r="14" spans="1:39" s="738" customFormat="1" ht="15" customHeight="1">
      <c r="A14" s="731"/>
      <c r="B14" s="731"/>
      <c r="C14" s="731"/>
      <c r="D14" s="731"/>
      <c r="E14" s="731"/>
      <c r="F14" s="731"/>
      <c r="G14" s="982"/>
      <c r="H14" s="1133" t="s">
        <v>233</v>
      </c>
      <c r="I14" s="1133"/>
      <c r="J14" s="1133"/>
      <c r="K14" s="1133"/>
      <c r="L14" s="1133"/>
      <c r="M14" s="1133"/>
      <c r="N14" s="733">
        <f>+SUMIF(Manual!$2:$2,N$4,Manual!$33:$33)</f>
        <v>18.527999999999992</v>
      </c>
      <c r="O14" s="732">
        <f>+SUMIF(Manual!$2:$2,O$4,Manual!$33:$33)</f>
        <v>20.167000000000002</v>
      </c>
      <c r="P14" s="732">
        <f>+SUMIF(Manual!$2:$2,P$4,Manual!$33:$33)</f>
        <v>18.972000000000008</v>
      </c>
      <c r="Q14" s="732">
        <f>+SUMIF(Manual!$2:$2,Q$4,Manual!$33:$33)</f>
        <v>17.882999999999996</v>
      </c>
      <c r="R14" s="733">
        <f>+SUMIF(Manual!$2:$2,R$4,Manual!$33:$33)</f>
        <v>18.400000000000006</v>
      </c>
      <c r="S14" s="732">
        <f>+SUMIF(Manual!$2:$2,S$4,Manual!$33:$33)</f>
        <v>19.540000000000006</v>
      </c>
      <c r="T14" s="732"/>
      <c r="U14" s="732"/>
      <c r="V14" s="734"/>
      <c r="W14" s="735"/>
      <c r="X14" s="732">
        <f>+SUMIF($N$4:$U$4,$B$1,$N14:$U14)-SUMIF($N$4:$U$4,$A$1,$N14:$U14)</f>
        <v>-0.62699999999999534</v>
      </c>
      <c r="Y14" s="926">
        <f>IF(OR(ABS(IF(X14&lt;0,-ABS(X14/SUMIF($N$4:$U$4,$A$1,$N14:$U14)),ABS(X14/SUMIF($N$4:$U$4,$A$1,$N14:$U14))))&lt;minvar,ABS(IF(X14&lt;0,-ABS(X14/SUMIF($N$4:$U$4,$A$1,$N14:$U14)),ABS(X14/SUMIF($N$4:$U$4,$A$1,$N14:$U14))))&gt;maxvar)=TRUE,"nm",IF(X14&lt;0,-ABS(X14/SUMIF($N$4:$U$4,$A$1,$N14:$U14)),ABS(X14/SUMIF($N$4:$U$4,$A$1,$N14:$U14))))</f>
        <v>-3.1090395200079102E-2</v>
      </c>
      <c r="Z14" s="736"/>
      <c r="AA14" s="735"/>
      <c r="AB14" s="732">
        <f>+SUMIF($N$42:$Q$42,"Yes",$N14:$Q14)</f>
        <v>38.694999999999993</v>
      </c>
      <c r="AC14" s="732">
        <f>+SUMIF($R$42:$U$42,"Yes",$R14:$U14)</f>
        <v>37.940000000000012</v>
      </c>
      <c r="AD14" s="734"/>
      <c r="AE14" s="735"/>
      <c r="AF14" s="732">
        <f t="shared" si="3"/>
        <v>-0.75499999999998124</v>
      </c>
      <c r="AG14" s="926">
        <f>IF(OR(ABS(IF(AF14&lt;0,-ABS(AF14/$AB14),ABS(AF14/$AB14)))&lt;minvar,ABS(IF(AF14&lt;0,-ABS(AF14/$AB14),ABS(AF14/$AB14)))&gt;maxvar)=TRUE,"nm",IF(AF14&lt;0,-ABS(AF14/$AB14),ABS(AF14/$AB14)))</f>
        <v>-1.9511564801653478E-2</v>
      </c>
      <c r="AH14" s="737"/>
      <c r="AJ14" s="636"/>
      <c r="AK14" s="636"/>
      <c r="AL14" s="636"/>
      <c r="AM14" s="636"/>
    </row>
    <row r="15" spans="1:39" s="728" customFormat="1" ht="15" customHeight="1" thickBot="1">
      <c r="A15" s="721"/>
      <c r="B15" s="721"/>
      <c r="C15" s="721"/>
      <c r="D15" s="721"/>
      <c r="E15" s="721"/>
      <c r="F15" s="721"/>
      <c r="G15" s="982"/>
      <c r="H15" s="967"/>
      <c r="I15" s="964"/>
      <c r="J15" s="1133" t="s">
        <v>234</v>
      </c>
      <c r="K15" s="1133"/>
      <c r="L15" s="1133"/>
      <c r="M15" s="1133"/>
      <c r="N15" s="730">
        <f t="shared" ref="N15:Q15" si="4">+SUM(N13:N14)</f>
        <v>92.962999999999994</v>
      </c>
      <c r="O15" s="729">
        <f t="shared" si="4"/>
        <v>98.668999999999997</v>
      </c>
      <c r="P15" s="729">
        <f t="shared" si="4"/>
        <v>88.775000000000006</v>
      </c>
      <c r="Q15" s="729">
        <f t="shared" si="4"/>
        <v>85.006</v>
      </c>
      <c r="R15" s="730">
        <f t="shared" ref="R15:S15" si="5">+SUM(R13:R14)</f>
        <v>83.275000000000006</v>
      </c>
      <c r="S15" s="729">
        <f t="shared" si="5"/>
        <v>89.873000000000005</v>
      </c>
      <c r="T15" s="729"/>
      <c r="U15" s="729"/>
      <c r="V15" s="724"/>
      <c r="W15" s="725"/>
      <c r="X15" s="729">
        <f>+SUMIF($N$4:$U$4,$B$1,$N15:$U15)-SUMIF($N$4:$U$4,$A$1,$N15:$U15)</f>
        <v>-8.7959999999999923</v>
      </c>
      <c r="Y15" s="931">
        <f>IF(OR(ABS(IF(X15&lt;0,-ABS(X15/SUMIF($N$4:$U$4,$A$1,$N15:$U15)),ABS(X15/SUMIF($N$4:$U$4,$A$1,$N15:$U15))))&lt;minvar,ABS(IF(X15&lt;0,-ABS(X15/SUMIF($N$4:$U$4,$A$1,$N15:$U15)),ABS(X15/SUMIF($N$4:$U$4,$A$1,$N15:$U15))))&gt;maxvar)=TRUE,"nm",IF(X15&lt;0,-ABS(X15/SUMIF($N$4:$U$4,$A$1,$N15:$U15)),ABS(X15/SUMIF($N$4:$U$4,$A$1,$N15:$U15))))</f>
        <v>-8.9146540453435147E-2</v>
      </c>
      <c r="Z15" s="726"/>
      <c r="AA15" s="725"/>
      <c r="AB15" s="729">
        <f>+SUMIF($N$42:$Q$42,"Yes",$N15:$Q15)</f>
        <v>191.63200000000001</v>
      </c>
      <c r="AC15" s="729">
        <f>+SUMIF($R$42:$U$42,"Yes",$R15:$U15)</f>
        <v>173.14800000000002</v>
      </c>
      <c r="AD15" s="724"/>
      <c r="AE15" s="725"/>
      <c r="AF15" s="729">
        <f t="shared" si="3"/>
        <v>-18.48399999999998</v>
      </c>
      <c r="AG15" s="931">
        <f>IF(OR(ABS(IF(AF15&lt;0,-ABS(AF15/$AB15),ABS(AF15/$AB15)))&lt;minvar,ABS(IF(AF15&lt;0,-ABS(AF15/$AB15),ABS(AF15/$AB15)))&gt;maxvar)=TRUE,"nm",IF(AF15&lt;0,-ABS(AF15/$AB15),ABS(AF15/$AB15)))</f>
        <v>-9.6455706771311572E-2</v>
      </c>
      <c r="AH15" s="727"/>
      <c r="AJ15" s="636"/>
      <c r="AK15" s="636"/>
      <c r="AL15" s="636"/>
      <c r="AM15" s="636"/>
    </row>
    <row r="16" spans="1:39" ht="15" thickTop="1">
      <c r="G16" s="982"/>
      <c r="H16" s="964"/>
      <c r="I16" s="964"/>
      <c r="J16" s="964"/>
      <c r="K16" s="964"/>
      <c r="L16" s="964"/>
      <c r="N16" s="332"/>
      <c r="O16" s="331"/>
      <c r="P16" s="331"/>
      <c r="Q16" s="331"/>
      <c r="R16" s="332"/>
      <c r="S16" s="331"/>
      <c r="T16" s="331"/>
      <c r="U16" s="331"/>
      <c r="V16" s="333"/>
      <c r="W16" s="263"/>
      <c r="X16" s="331"/>
      <c r="Y16" s="902"/>
      <c r="Z16" s="262"/>
      <c r="AA16" s="257"/>
      <c r="AB16" s="331"/>
      <c r="AC16" s="331"/>
      <c r="AD16" s="333"/>
      <c r="AE16" s="263"/>
      <c r="AF16" s="331"/>
      <c r="AG16" s="902"/>
      <c r="AH16"/>
      <c r="AJ16" s="636"/>
      <c r="AK16" s="636"/>
      <c r="AL16" s="636"/>
      <c r="AM16" s="636"/>
    </row>
    <row r="17" spans="1:39" s="636" customFormat="1" ht="15" customHeight="1">
      <c r="A17" s="626"/>
      <c r="B17" s="626"/>
      <c r="C17" s="626"/>
      <c r="D17" s="626"/>
      <c r="E17" s="626"/>
      <c r="F17" s="626"/>
      <c r="G17" s="1133" t="s">
        <v>235</v>
      </c>
      <c r="H17" s="1133"/>
      <c r="I17" s="1133"/>
      <c r="J17" s="1133"/>
      <c r="K17" s="1133"/>
      <c r="L17" s="1133"/>
      <c r="M17" s="1133"/>
      <c r="N17" s="630">
        <f>+SUMIF(Manual!$2:$2,N$4,Manual!$36:$36)</f>
        <v>86415</v>
      </c>
      <c r="O17" s="629">
        <f>+SUMIF(Manual!$2:$2,O$4,Manual!$36:$36)</f>
        <v>89850</v>
      </c>
      <c r="P17" s="629">
        <f>+SUMIF(Manual!$2:$2,P$4,Manual!$36:$36)</f>
        <v>79379</v>
      </c>
      <c r="Q17" s="629">
        <f>+SUMIF(Manual!$2:$2,Q$4,Manual!$36:$36)</f>
        <v>76143</v>
      </c>
      <c r="R17" s="630">
        <f>+SUMIF(Manual!$2:$2,R$4,Manual!$36:$36)</f>
        <v>74054</v>
      </c>
      <c r="S17" s="629">
        <f>+SUMIF(Manual!$2:$2,S$4,Manual!$36:$36)</f>
        <v>78904</v>
      </c>
      <c r="T17" s="629"/>
      <c r="U17" s="629"/>
      <c r="V17" s="631"/>
      <c r="W17" s="634"/>
      <c r="X17" s="629">
        <f>+SUMIF($N$4:$U$4,$B$1,$N17:$U17)-SUMIF($N$4:$U$4,$A$1,$N17:$U17)</f>
        <v>-10946</v>
      </c>
      <c r="Y17" s="902">
        <f>IF(OR(ABS(IF(X17&lt;0,-ABS(X17/SUMIF($N$4:$U$4,$A$1,$N17:$U17)),ABS(X17/SUMIF($N$4:$U$4,$A$1,$N17:$U17))))&lt;minvar,ABS(IF(X17&lt;0,-ABS(X17/SUMIF($N$4:$U$4,$A$1,$N17:$U17)),ABS(X17/SUMIF($N$4:$U$4,$A$1,$N17:$U17))))&gt;maxvar)=TRUE,"nm",IF(X17&lt;0,-ABS(X17/SUMIF($N$4:$U$4,$A$1,$N17:$U17)),ABS(X17/SUMIF($N$4:$U$4,$A$1,$N17:$U17))))</f>
        <v>-0.12182526432943795</v>
      </c>
      <c r="Z17" s="718"/>
      <c r="AA17" s="634"/>
      <c r="AB17" s="629">
        <f>+SUMIF($N$42:$Q$42,"Yes",$N17:$Q17)</f>
        <v>176265</v>
      </c>
      <c r="AC17" s="629">
        <f>+SUMIF($R$42:$U$42,"Yes",$R17:$U17)</f>
        <v>152958</v>
      </c>
      <c r="AD17" s="631"/>
      <c r="AE17" s="634"/>
      <c r="AF17" s="629">
        <f t="shared" ref="AF17:AF18" si="6">+$AC17-$AB17</f>
        <v>-23307</v>
      </c>
      <c r="AG17" s="902">
        <f>IF(OR(ABS(IF(AF17&lt;0,-ABS(AF17/$AB17),ABS(AF17/$AB17)))&lt;minvar,ABS(IF(AF17&lt;0,-ABS(AF17/$AB17),ABS(AF17/$AB17)))&gt;maxvar)=TRUE,"nm",IF(AF17&lt;0,-ABS(AF17/$AB17),ABS(AF17/$AB17)))</f>
        <v>-0.13222704450685049</v>
      </c>
      <c r="AH17" s="635"/>
    </row>
    <row r="18" spans="1:39" s="610" customFormat="1" ht="15" customHeight="1">
      <c r="A18" s="600"/>
      <c r="B18" s="600"/>
      <c r="C18" s="600"/>
      <c r="D18" s="600"/>
      <c r="E18" s="600"/>
      <c r="F18" s="600"/>
      <c r="G18" s="1137" t="s">
        <v>236</v>
      </c>
      <c r="H18" s="1133"/>
      <c r="I18" s="1133"/>
      <c r="J18" s="1133"/>
      <c r="K18" s="1133"/>
      <c r="L18" s="1133"/>
      <c r="M18" s="1133"/>
      <c r="N18" s="602">
        <f t="shared" ref="N18:Q18" si="7">+N13/N17*1000000</f>
        <v>861.36666088063419</v>
      </c>
      <c r="O18" s="601">
        <f t="shared" si="7"/>
        <v>873.70061213132988</v>
      </c>
      <c r="P18" s="601">
        <f t="shared" si="7"/>
        <v>879.36355963164056</v>
      </c>
      <c r="Q18" s="601">
        <f t="shared" si="7"/>
        <v>881.53868379233813</v>
      </c>
      <c r="R18" s="602">
        <f t="shared" ref="R18:S18" si="8">+R13/R17*1000000</f>
        <v>876.04990952548133</v>
      </c>
      <c r="S18" s="601">
        <f t="shared" si="8"/>
        <v>891.37432829767818</v>
      </c>
      <c r="T18" s="601"/>
      <c r="U18" s="601"/>
      <c r="V18" s="603"/>
      <c r="W18" s="605"/>
      <c r="X18" s="601">
        <f>+SUMIF($N$4:$U$4,$B$1,$N18:$U18)-SUMIF($N$4:$U$4,$A$1,$N18:$U18)</f>
        <v>17.673716166348299</v>
      </c>
      <c r="Y18" s="902">
        <f>IF(OR(ABS(IF(X18&lt;0,-ABS(X18/SUMIF($N$4:$U$4,$A$1,$N18:$U18)),ABS(X18/SUMIF($N$4:$U$4,$A$1,$N18:$U18))))&lt;minvar,ABS(IF(X18&lt;0,-ABS(X18/SUMIF($N$4:$U$4,$A$1,$N18:$U18)),ABS(X18/SUMIF($N$4:$U$4,$A$1,$N18:$U18))))&gt;maxvar)=TRUE,"nm",IF(X18&lt;0,-ABS(X18/SUMIF($N$4:$U$4,$A$1,$N18:$U18)),ABS(X18/SUMIF($N$4:$U$4,$A$1,$N18:$U18))))</f>
        <v>2.0228572489190019E-2</v>
      </c>
      <c r="Z18" s="708"/>
      <c r="AA18" s="605"/>
      <c r="AB18" s="601">
        <f t="shared" ref="AB18:AC18" si="9">+AB13/AB17*1000000</f>
        <v>867.65381669645149</v>
      </c>
      <c r="AC18" s="601">
        <f t="shared" si="9"/>
        <v>883.95507263431796</v>
      </c>
      <c r="AD18" s="603"/>
      <c r="AE18" s="605"/>
      <c r="AF18" s="601">
        <f t="shared" si="6"/>
        <v>16.301255937866472</v>
      </c>
      <c r="AG18" s="902">
        <f>IF(OR(ABS(IF(AF18&lt;0,-ABS(AF18/$AB18),ABS(AF18/$AB18)))&lt;minvar,ABS(IF(AF18&lt;0,-ABS(AF18/$AB18),ABS(AF18/$AB18)))&gt;maxvar)=TRUE,"nm",IF(AF18&lt;0,-ABS(AF18/$AB18),ABS(AF18/$AB18)))</f>
        <v>1.8787741866834275E-2</v>
      </c>
      <c r="AH18" s="609"/>
      <c r="AJ18" s="636"/>
      <c r="AK18" s="636"/>
      <c r="AL18" s="636"/>
      <c r="AM18" s="636"/>
    </row>
    <row r="19" spans="1:39" ht="14.4">
      <c r="G19" s="963"/>
      <c r="H19" s="964"/>
      <c r="I19" s="964"/>
      <c r="J19" s="964"/>
      <c r="K19" s="964"/>
      <c r="L19" s="964"/>
      <c r="N19" s="303"/>
      <c r="O19" s="175"/>
      <c r="P19" s="175"/>
      <c r="Q19" s="175"/>
      <c r="R19" s="303"/>
      <c r="S19" s="175"/>
      <c r="T19" s="175"/>
      <c r="U19" s="175"/>
      <c r="V19" s="334"/>
      <c r="W19" s="257"/>
      <c r="X19" s="257"/>
      <c r="Y19" s="928"/>
      <c r="Z19" s="262"/>
      <c r="AA19" s="257"/>
      <c r="AB19" s="175"/>
      <c r="AC19" s="175"/>
      <c r="AD19" s="334"/>
      <c r="AE19" s="257"/>
      <c r="AF19" s="257"/>
      <c r="AG19" s="928"/>
      <c r="AH19"/>
      <c r="AJ19" s="636"/>
      <c r="AK19" s="636"/>
      <c r="AL19" s="636"/>
      <c r="AM19" s="636"/>
    </row>
    <row r="20" spans="1:39" s="610" customFormat="1" ht="15" customHeight="1">
      <c r="A20" s="600"/>
      <c r="B20" s="600"/>
      <c r="C20" s="600"/>
      <c r="D20" s="600"/>
      <c r="E20" s="600"/>
      <c r="F20" s="600"/>
      <c r="G20" s="1133" t="s">
        <v>237</v>
      </c>
      <c r="H20" s="1133"/>
      <c r="I20" s="1133"/>
      <c r="J20" s="1133"/>
      <c r="K20" s="1133"/>
      <c r="L20" s="1133"/>
      <c r="M20" s="1133"/>
      <c r="N20" s="602">
        <f>+SUMIF(Manual!$2:$2,N$4,Manual!$39:$39)</f>
        <v>953583.10072787956</v>
      </c>
      <c r="O20" s="601">
        <f>+SUMIF(Manual!$2:$2,O$4,Manual!$39:$39)</f>
        <v>956981.32372787944</v>
      </c>
      <c r="P20" s="601">
        <f>+SUMIF(Manual!$2:$2,P$4,Manual!$39:$39)</f>
        <v>968311.79672787944</v>
      </c>
      <c r="Q20" s="601">
        <f>+SUMIF(Manual!$2:$2,Q$4,Manual!$39:$39)</f>
        <v>967023.53872787941</v>
      </c>
      <c r="R20" s="602">
        <f>+SUMIF(Manual!$2:$2,R$4,Manual!$39:$39)</f>
        <v>967612.22472787951</v>
      </c>
      <c r="S20" s="601">
        <f>+SUMIF(Manual!$2:$2,S$4,Manual!$39:$39)</f>
        <v>965671.36772787943</v>
      </c>
      <c r="T20" s="601"/>
      <c r="U20" s="601"/>
      <c r="V20" s="603"/>
      <c r="W20" s="605"/>
      <c r="X20" s="601">
        <f>+SUMIF($N$4:$U$4,$B$1,$N20:$U20)-SUMIF($N$4:$U$4,$A$1,$N20:$U20)</f>
        <v>8690.0439999999944</v>
      </c>
      <c r="Y20" s="902">
        <f>IF(OR(ABS(IF(X20&lt;0,-ABS(X20/SUMIF($N$4:$U$4,$A$1,$N20:$U20)),ABS(X20/SUMIF($N$4:$U$4,$A$1,$N20:$U20))))&lt;minvar,ABS(IF(X20&lt;0,-ABS(X20/SUMIF($N$4:$U$4,$A$1,$N20:$U20)),ABS(X20/SUMIF($N$4:$U$4,$A$1,$N20:$U20))))&gt;maxvar)=TRUE,"nm",IF(X20&lt;0,-ABS(X20/SUMIF($N$4:$U$4,$A$1,$N20:$U20)),ABS(X20/SUMIF($N$4:$U$4,$A$1,$N20:$U20))))</f>
        <v>9.0806829606123376E-3</v>
      </c>
      <c r="Z20" s="708"/>
      <c r="AA20" s="605"/>
      <c r="AB20" s="601">
        <f>+N20</f>
        <v>953583.10072787956</v>
      </c>
      <c r="AC20" s="601">
        <f>+R20</f>
        <v>967612.22472787951</v>
      </c>
      <c r="AD20" s="603"/>
      <c r="AE20" s="605"/>
      <c r="AF20" s="601">
        <f t="shared" ref="AF20:AF24" si="10">+$AC20-$AB20</f>
        <v>14029.123999999953</v>
      </c>
      <c r="AG20" s="902">
        <f>IF(OR(ABS(IF(AF20&lt;0,-ABS(AF20/$AB20),ABS(AF20/$AB20)))&lt;minvar,ABS(IF(AF20&lt;0,-ABS(AF20/$AB20),ABS(AF20/$AB20)))&gt;maxvar)=TRUE,"nm",IF(AF20&lt;0,-ABS(AF20/$AB20),ABS(AF20/$AB20)))</f>
        <v>1.4712009880723957E-2</v>
      </c>
      <c r="AH20" s="609"/>
      <c r="AJ20" s="636"/>
      <c r="AK20" s="636"/>
      <c r="AL20" s="636"/>
      <c r="AM20" s="636"/>
    </row>
    <row r="21" spans="1:39" s="636" customFormat="1" ht="15" customHeight="1">
      <c r="A21" s="626"/>
      <c r="B21" s="626"/>
      <c r="C21" s="626"/>
      <c r="D21" s="626"/>
      <c r="E21" s="626"/>
      <c r="F21" s="626"/>
      <c r="G21" s="982"/>
      <c r="H21" s="1137" t="s">
        <v>825</v>
      </c>
      <c r="I21" s="1133"/>
      <c r="J21" s="1133"/>
      <c r="K21" s="1133"/>
      <c r="L21" s="1133"/>
      <c r="M21" s="1133"/>
      <c r="N21" s="630">
        <f>+SUMIF(Manual!$2:$2,N$4,Manual!$40:$40)</f>
        <v>28454.562999999998</v>
      </c>
      <c r="O21" s="629">
        <f>+SUMIF(Manual!$2:$2,O$4,Manual!$40:$40)</f>
        <v>30292.181</v>
      </c>
      <c r="P21" s="629">
        <f>+SUMIF(Manual!$2:$2,P$4,Manual!$40:$40)</f>
        <v>27066.787</v>
      </c>
      <c r="Q21" s="629">
        <f>+SUMIF(Manual!$2:$2,Q$4,Manual!$40:$40)</f>
        <v>26068.202000000001</v>
      </c>
      <c r="R21" s="630">
        <f>+SUMIF(Manual!$2:$2,R$4,Manual!$40:$40)</f>
        <v>25677.741999999998</v>
      </c>
      <c r="S21" s="629">
        <f>+SUMIF(Manual!$2:$2,S$4,Manual!$40:$40)</f>
        <v>27736.51</v>
      </c>
      <c r="T21" s="629"/>
      <c r="U21" s="629"/>
      <c r="V21" s="631"/>
      <c r="W21" s="634"/>
      <c r="X21" s="629">
        <f>+SUMIF($N$4:$U$4,$B$1,$N21:$U21)-SUMIF($N$4:$U$4,$A$1,$N21:$U21)</f>
        <v>-2555.6710000000021</v>
      </c>
      <c r="Y21" s="902">
        <f>IF(OR(ABS(IF(X21&lt;0,-ABS(X21/SUMIF($N$4:$U$4,$A$1,$N21:$U21)),ABS(X21/SUMIF($N$4:$U$4,$A$1,$N21:$U21))))&lt;minvar,ABS(IF(X21&lt;0,-ABS(X21/SUMIF($N$4:$U$4,$A$1,$N21:$U21)),ABS(X21/SUMIF($N$4:$U$4,$A$1,$N21:$U21))))&gt;maxvar)=TRUE,"nm",IF(X21&lt;0,-ABS(X21/SUMIF($N$4:$U$4,$A$1,$N21:$U21)),ABS(X21/SUMIF($N$4:$U$4,$A$1,$N21:$U21))))</f>
        <v>-8.4367348788784866E-2</v>
      </c>
      <c r="Z21" s="718"/>
      <c r="AA21" s="634"/>
      <c r="AB21" s="629">
        <f>+SUMIF($N$42:$Q$42,"Yes",$N21:$Q21)</f>
        <v>58746.743999999999</v>
      </c>
      <c r="AC21" s="629">
        <f>+SUMIF($R$42:$U$42,"Yes",$R21:$U21)</f>
        <v>53414.251999999993</v>
      </c>
      <c r="AD21" s="631"/>
      <c r="AE21" s="634"/>
      <c r="AF21" s="629">
        <f t="shared" si="10"/>
        <v>-5332.4920000000056</v>
      </c>
      <c r="AG21" s="902">
        <f>IF(OR(ABS(IF(AF21&lt;0,-ABS(AF21/$AB21),ABS(AF21/$AB21)))&lt;minvar,ABS(IF(AF21&lt;0,-ABS(AF21/$AB21),ABS(AF21/$AB21)))&gt;maxvar)=TRUE,"nm",IF(AF21&lt;0,-ABS(AF21/$AB21),ABS(AF21/$AB21)))</f>
        <v>-9.077085191308655E-2</v>
      </c>
      <c r="AH21" s="635"/>
    </row>
    <row r="22" spans="1:39" s="636" customFormat="1" ht="15" customHeight="1">
      <c r="A22" s="626"/>
      <c r="B22" s="626"/>
      <c r="C22" s="626"/>
      <c r="D22" s="626"/>
      <c r="E22" s="626"/>
      <c r="F22" s="626"/>
      <c r="G22" s="982"/>
      <c r="H22" s="1133" t="s">
        <v>238</v>
      </c>
      <c r="I22" s="1133"/>
      <c r="J22" s="1133"/>
      <c r="K22" s="1133"/>
      <c r="L22" s="1133"/>
      <c r="M22" s="1133"/>
      <c r="N22" s="630">
        <f>+SUMIF(Manual!$2:$2,N$4,Manual!$41:$41)</f>
        <v>-24979.402999999998</v>
      </c>
      <c r="O22" s="629">
        <f>+SUMIF(Manual!$2:$2,O$4,Manual!$41:$41)</f>
        <v>-24795.365000000002</v>
      </c>
      <c r="P22" s="629">
        <f>+SUMIF(Manual!$2:$2,P$4,Manual!$41:$41)</f>
        <v>-26159.046999999999</v>
      </c>
      <c r="Q22" s="629">
        <f>+SUMIF(Manual!$2:$2,Q$4,Manual!$41:$41)</f>
        <v>-27169.638999999999</v>
      </c>
      <c r="R22" s="630">
        <f>+SUMIF(Manual!$2:$2,R$4,Manual!$41:$41)</f>
        <v>-25577.544999999998</v>
      </c>
      <c r="S22" s="629">
        <f>+SUMIF(Manual!$2:$2,S$4,Manual!$41:$41)</f>
        <v>-23645.401999999998</v>
      </c>
      <c r="T22" s="629"/>
      <c r="U22" s="629"/>
      <c r="V22" s="631"/>
      <c r="W22" s="634"/>
      <c r="X22" s="629">
        <f>+SUMIF($N$4:$U$4,$B$1,$N22:$U22)-SUMIF($N$4:$U$4,$A$1,$N22:$U22)</f>
        <v>1149.9630000000034</v>
      </c>
      <c r="Y22" s="902">
        <f>IF(OR(ABS(IF(X22&lt;0,-ABS(X22/SUMIF($N$4:$U$4,$A$1,$N22:$U22)),ABS(X22/SUMIF($N$4:$U$4,$A$1,$N22:$U22))))&lt;minvar,ABS(IF(X22&lt;0,-ABS(X22/SUMIF($N$4:$U$4,$A$1,$N22:$U22)),ABS(X22/SUMIF($N$4:$U$4,$A$1,$N22:$U22))))&gt;maxvar)=TRUE,"nm",IF(X22&lt;0,-ABS(X22/SUMIF($N$4:$U$4,$A$1,$N22:$U22)),ABS(X22/SUMIF($N$4:$U$4,$A$1,$N22:$U22))))</f>
        <v>4.6378143657090885E-2</v>
      </c>
      <c r="Z22" s="718"/>
      <c r="AA22" s="634"/>
      <c r="AB22" s="629">
        <f>+SUMIF($N$42:$Q$42,"Yes",$N22:$Q22)</f>
        <v>-49774.767999999996</v>
      </c>
      <c r="AC22" s="629">
        <f>+SUMIF($R$42:$U$42,"Yes",$R22:$U22)</f>
        <v>-49222.947</v>
      </c>
      <c r="AD22" s="631"/>
      <c r="AE22" s="634"/>
      <c r="AF22" s="629">
        <f t="shared" si="10"/>
        <v>551.82099999999627</v>
      </c>
      <c r="AG22" s="902">
        <f>IF(OR(ABS(IF(AF22&lt;0,-ABS(AF22/$AB22),ABS(AF22/$AB22)))&lt;minvar,ABS(IF(AF22&lt;0,-ABS(AF22/$AB22),ABS(AF22/$AB22)))&gt;maxvar)=TRUE,"nm",IF(AF22&lt;0,-ABS(AF22/$AB22),ABS(AF22/$AB22)))</f>
        <v>1.1086360060985042E-2</v>
      </c>
      <c r="AH22" s="635"/>
    </row>
    <row r="23" spans="1:39" s="636" customFormat="1" ht="15" customHeight="1">
      <c r="A23" s="626"/>
      <c r="B23" s="626"/>
      <c r="C23" s="626"/>
      <c r="D23" s="626"/>
      <c r="E23" s="626"/>
      <c r="F23" s="626"/>
      <c r="G23" s="982"/>
      <c r="H23" s="1133" t="s">
        <v>239</v>
      </c>
      <c r="I23" s="1133"/>
      <c r="J23" s="1133"/>
      <c r="K23" s="1133"/>
      <c r="L23" s="1133"/>
      <c r="M23" s="1133"/>
      <c r="N23" s="630">
        <f>+SUMIF(Manual!$2:$2,N$4,Manual!$42:$42)</f>
        <v>-76.936999999999998</v>
      </c>
      <c r="O23" s="629">
        <f>+SUMIF(Manual!$2:$2,O$4,Manual!$42:$42)</f>
        <v>5833.6570000000002</v>
      </c>
      <c r="P23" s="629">
        <f>+SUMIF(Manual!$2:$2,P$4,Manual!$42:$42)</f>
        <v>-2195.998</v>
      </c>
      <c r="Q23" s="629">
        <f>+SUMIF(Manual!$2:$2,Q$4,Manual!$42:$42)</f>
        <v>1690.123</v>
      </c>
      <c r="R23" s="630">
        <f>+SUMIF(Manual!$2:$2,R$4,Manual!$42:$42)</f>
        <v>-2041.0540000000001</v>
      </c>
      <c r="S23" s="629">
        <f>+SUMIF(Manual!$2:$2,S$4,Manual!$42:$42)</f>
        <v>-1857.963</v>
      </c>
      <c r="T23" s="629"/>
      <c r="U23" s="629"/>
      <c r="V23" s="631"/>
      <c r="W23" s="634"/>
      <c r="X23" s="629">
        <f>+SUMIF($N$4:$U$4,$B$1,$N23:$U23)-SUMIF($N$4:$U$4,$A$1,$N23:$U23)</f>
        <v>-7691.62</v>
      </c>
      <c r="Y23" s="902">
        <f>IF(OR(ABS(IF(X23&lt;0,-ABS(X23/SUMIF($N$4:$U$4,$A$1,$N23:$U23)),ABS(X23/SUMIF($N$4:$U$4,$A$1,$N23:$U23))))&lt;minvar,ABS(IF(X23&lt;0,-ABS(X23/SUMIF($N$4:$U$4,$A$1,$N23:$U23)),ABS(X23/SUMIF($N$4:$U$4,$A$1,$N23:$U23))))&gt;maxvar)=TRUE,"nm",IF(X23&lt;0,-ABS(X23/SUMIF($N$4:$U$4,$A$1,$N23:$U23)),ABS(X23/SUMIF($N$4:$U$4,$A$1,$N23:$U23))))</f>
        <v>-1.3184902711969524</v>
      </c>
      <c r="Z23" s="718"/>
      <c r="AA23" s="634"/>
      <c r="AB23" s="629">
        <f>+SUMIF($N$42:$Q$42,"Yes",$N23:$Q23)</f>
        <v>5756.72</v>
      </c>
      <c r="AC23" s="629">
        <f>+SUMIF($R$42:$U$42,"Yes",$R23:$U23)</f>
        <v>-3899.0169999999998</v>
      </c>
      <c r="AD23" s="631"/>
      <c r="AE23" s="634"/>
      <c r="AF23" s="629">
        <f t="shared" si="10"/>
        <v>-9655.737000000001</v>
      </c>
      <c r="AG23" s="902" t="str">
        <f>IF(OR(ABS(IF(AF23&lt;0,-ABS(AF23/$AB23),ABS(AF23/$AB23)))&lt;minvar,ABS(IF(AF23&lt;0,-ABS(AF23/$AB23),ABS(AF23/$AB23)))&gt;maxvar)=TRUE,"nm",IF(AF23&lt;0,-ABS(AF23/$AB23),ABS(AF23/$AB23)))</f>
        <v>nm</v>
      </c>
      <c r="AH23" s="635"/>
    </row>
    <row r="24" spans="1:39" ht="15" customHeight="1" thickBot="1">
      <c r="G24" s="1133" t="s">
        <v>240</v>
      </c>
      <c r="H24" s="1133"/>
      <c r="I24" s="1133"/>
      <c r="J24" s="1133"/>
      <c r="K24" s="1133"/>
      <c r="L24" s="1133"/>
      <c r="M24" s="1133"/>
      <c r="N24" s="670">
        <f t="shared" ref="N24:Q24" si="11">+SUM(N20:N23)</f>
        <v>956981.32372787944</v>
      </c>
      <c r="O24" s="669">
        <f t="shared" si="11"/>
        <v>968311.79672787944</v>
      </c>
      <c r="P24" s="669">
        <f t="shared" si="11"/>
        <v>967023.53872787941</v>
      </c>
      <c r="Q24" s="669">
        <f t="shared" si="11"/>
        <v>967612.22472787951</v>
      </c>
      <c r="R24" s="670">
        <f t="shared" ref="R24:S24" si="12">+SUM(R20:R23)</f>
        <v>965671.36772787943</v>
      </c>
      <c r="S24" s="669">
        <f t="shared" si="12"/>
        <v>967904.51272787945</v>
      </c>
      <c r="T24" s="669"/>
      <c r="U24" s="669"/>
      <c r="V24" s="707"/>
      <c r="W24" s="605"/>
      <c r="X24" s="669">
        <f>+SUMIF($N$4:$U$4,$B$1,$N24:$U24)-SUMIF($N$4:$U$4,$A$1,$N24:$U24)</f>
        <v>-407.2839999999851</v>
      </c>
      <c r="Y24" s="905" t="str">
        <f>IF(OR(ABS(IF(X24&lt;0,-ABS(X24/SUMIF($N$4:$U$4,$A$1,$N24:$U24)),ABS(X24/SUMIF($N$4:$U$4,$A$1,$N24:$U24))))&lt;minvar,ABS(IF(X24&lt;0,-ABS(X24/SUMIF($N$4:$U$4,$A$1,$N24:$U24)),ABS(X24/SUMIF($N$4:$U$4,$A$1,$N24:$U24))))&gt;maxvar)=TRUE,"nm",IF(X24&lt;0,-ABS(X24/SUMIF($N$4:$U$4,$A$1,$N24:$U24)),ABS(X24/SUMIF($N$4:$U$4,$A$1,$N24:$U24))))</f>
        <v>nm</v>
      </c>
      <c r="Z24" s="262"/>
      <c r="AA24" s="257"/>
      <c r="AB24" s="669">
        <f>+SUM(AB20:AB23)</f>
        <v>968311.79672787944</v>
      </c>
      <c r="AC24" s="669">
        <f>+SUM(AC20:AC23)</f>
        <v>967904.51272787945</v>
      </c>
      <c r="AD24" s="333"/>
      <c r="AE24" s="263"/>
      <c r="AF24" s="669">
        <f t="shared" si="10"/>
        <v>-407.2839999999851</v>
      </c>
      <c r="AG24" s="905" t="str">
        <f>IF(OR(ABS(IF(AF24&lt;0,-ABS(AF24/$AB24),ABS(AF24/$AB24)))&lt;minvar,ABS(IF(AF24&lt;0,-ABS(AF24/$AB24),ABS(AF24/$AB24)))&gt;maxvar)=TRUE,"nm",IF(AF24&lt;0,-ABS(AF24/$AB24),ABS(AF24/$AB24)))</f>
        <v>nm</v>
      </c>
      <c r="AH24"/>
      <c r="AJ24" s="636"/>
      <c r="AK24" s="636"/>
      <c r="AL24" s="636"/>
      <c r="AM24" s="636"/>
    </row>
    <row r="25" spans="1:39" ht="15" thickTop="1">
      <c r="Q25" s="1041"/>
      <c r="T25" s="1041"/>
      <c r="U25" s="1041"/>
      <c r="X25" s="610"/>
      <c r="AH25"/>
    </row>
    <row r="26" spans="1:39" ht="14.4">
      <c r="U26" s="1044"/>
      <c r="AH26"/>
    </row>
    <row r="27" spans="1:39" ht="14.4">
      <c r="G27" s="969"/>
      <c r="H27" s="160"/>
      <c r="I27" s="160"/>
      <c r="J27" s="160"/>
      <c r="K27" s="160"/>
      <c r="L27" s="160"/>
      <c r="M27" s="160"/>
      <c r="N27" s="160"/>
      <c r="O27" s="160"/>
      <c r="P27" s="160"/>
      <c r="Q27" s="160"/>
      <c r="R27" s="160"/>
      <c r="S27" s="417"/>
      <c r="T27" s="417"/>
      <c r="U27" s="417"/>
      <c r="V27" s="160"/>
      <c r="W27" s="160"/>
      <c r="X27" s="160"/>
      <c r="Y27" s="680"/>
      <c r="Z27" s="160"/>
      <c r="AA27" s="160"/>
      <c r="AB27" s="160"/>
      <c r="AC27" s="160"/>
      <c r="AD27" s="160"/>
      <c r="AE27" s="160"/>
      <c r="AF27" s="160"/>
      <c r="AG27" s="680"/>
      <c r="AH27"/>
    </row>
    <row r="28" spans="1:39" ht="14.4">
      <c r="AH28"/>
    </row>
    <row r="29" spans="1:39" ht="30" customHeight="1">
      <c r="G29" s="1009" t="s">
        <v>42</v>
      </c>
      <c r="H29" s="1167" t="s">
        <v>760</v>
      </c>
      <c r="I29" s="1167"/>
      <c r="J29" s="1167"/>
      <c r="K29" s="1167"/>
      <c r="L29" s="1167"/>
      <c r="M29" s="1167"/>
      <c r="N29" s="1167"/>
      <c r="O29" s="1167"/>
      <c r="P29" s="1167"/>
      <c r="Q29" s="1167"/>
      <c r="R29" s="1167"/>
      <c r="S29" s="1167"/>
      <c r="T29" s="1167"/>
      <c r="U29" s="1167"/>
      <c r="V29" s="1167"/>
      <c r="W29" s="1167"/>
      <c r="X29" s="1167"/>
      <c r="Y29" s="1167"/>
      <c r="Z29" s="1167"/>
      <c r="AA29" s="1167"/>
      <c r="AB29" s="1167"/>
      <c r="AC29" s="1167"/>
      <c r="AD29" s="1167"/>
      <c r="AE29" s="1167"/>
      <c r="AF29" s="1167"/>
      <c r="AG29" s="1167"/>
      <c r="AH29" s="411"/>
    </row>
    <row r="30" spans="1:39">
      <c r="G30" s="1008" t="s">
        <v>44</v>
      </c>
      <c r="H30" s="1167" t="s">
        <v>253</v>
      </c>
      <c r="I30" s="1167"/>
      <c r="J30" s="1167"/>
      <c r="K30" s="1167"/>
      <c r="L30" s="1167"/>
      <c r="M30" s="1167"/>
      <c r="N30" s="1167"/>
      <c r="O30" s="1167"/>
      <c r="P30" s="1167"/>
      <c r="Q30" s="1167"/>
      <c r="R30" s="1167"/>
      <c r="S30" s="1167"/>
      <c r="T30" s="1167"/>
      <c r="U30" s="1167"/>
      <c r="V30" s="1167"/>
      <c r="W30" s="1167"/>
      <c r="X30" s="1167"/>
      <c r="Y30" s="1167"/>
      <c r="Z30" s="1167"/>
      <c r="AA30" s="1167"/>
      <c r="AB30" s="1167"/>
      <c r="AC30" s="1167"/>
      <c r="AD30" s="1167"/>
      <c r="AE30" s="1167"/>
      <c r="AF30" s="1167"/>
      <c r="AG30" s="1167"/>
    </row>
    <row r="31" spans="1:39">
      <c r="G31" s="1008" t="s">
        <v>211</v>
      </c>
      <c r="H31" s="1167" t="s">
        <v>761</v>
      </c>
      <c r="I31" s="1167"/>
      <c r="J31" s="1167"/>
      <c r="K31" s="1167"/>
      <c r="L31" s="1167"/>
      <c r="M31" s="1167"/>
      <c r="N31" s="1167"/>
      <c r="O31" s="1167"/>
      <c r="P31" s="1167"/>
      <c r="Q31" s="1167"/>
      <c r="R31" s="1167"/>
      <c r="S31" s="1167"/>
      <c r="T31" s="1167"/>
      <c r="U31" s="1167"/>
      <c r="V31" s="1167"/>
      <c r="W31" s="1167"/>
      <c r="X31" s="1167"/>
      <c r="Y31" s="1167"/>
      <c r="Z31" s="1167"/>
      <c r="AA31" s="1167"/>
      <c r="AB31" s="1167"/>
      <c r="AC31" s="1167"/>
      <c r="AD31" s="1167"/>
      <c r="AE31" s="1167"/>
      <c r="AF31" s="1167"/>
      <c r="AG31" s="1167"/>
    </row>
    <row r="41" spans="14:21">
      <c r="N41" s="252" t="str">
        <f>+IS!N$57</f>
        <v>2025 - Q1</v>
      </c>
      <c r="O41" s="252" t="str">
        <f>+IS!O$57</f>
        <v>2025 - Q2</v>
      </c>
      <c r="P41" s="252" t="str">
        <f>+IS!P$57</f>
        <v>2025 - Q3</v>
      </c>
      <c r="Q41" s="252" t="str">
        <f>+IS!Q$57</f>
        <v>2025 - Q4</v>
      </c>
      <c r="R41" s="273" t="str">
        <f>+IS!R$57</f>
        <v>2026 - Q1</v>
      </c>
      <c r="S41" s="346" t="str">
        <f>+IS!S$57</f>
        <v>2026 - Q2</v>
      </c>
      <c r="T41" s="346" t="str">
        <f>+IS!T$57</f>
        <v>2026 - Q3</v>
      </c>
      <c r="U41" s="346" t="str">
        <f>+IS!U$57</f>
        <v>2026 - Q4</v>
      </c>
    </row>
    <row r="42" spans="14:21">
      <c r="N42" s="252" t="str">
        <f t="shared" ref="N42:T42" si="13">+IF(RIGHT(LEFT(N$4,2),1)&lt;=RIGHT(LEFT($B$1,2),1),"Yes","")</f>
        <v>Yes</v>
      </c>
      <c r="O42" s="252" t="str">
        <f t="shared" si="13"/>
        <v>Yes</v>
      </c>
      <c r="P42" s="252" t="str">
        <f t="shared" si="13"/>
        <v/>
      </c>
      <c r="Q42" s="252" t="str">
        <f t="shared" si="13"/>
        <v/>
      </c>
      <c r="R42" s="273" t="str">
        <f t="shared" si="13"/>
        <v>Yes</v>
      </c>
      <c r="S42" s="346" t="str">
        <f t="shared" si="13"/>
        <v>Yes</v>
      </c>
      <c r="T42" s="346" t="str">
        <f t="shared" si="13"/>
        <v/>
      </c>
      <c r="U42" s="346" t="str">
        <f>+IF(RIGHT(LEFT(U$4,2),1)&lt;=RIGHT(LEFT($B$1,2),1),"Yes","")</f>
        <v/>
      </c>
    </row>
  </sheetData>
  <sheetProtection formatCells="0"/>
  <mergeCells count="24">
    <mergeCell ref="G7:M7"/>
    <mergeCell ref="H8:M8"/>
    <mergeCell ref="AC1:AG1"/>
    <mergeCell ref="H29:AG29"/>
    <mergeCell ref="H30:AG30"/>
    <mergeCell ref="H1:AB1"/>
    <mergeCell ref="X3:Y3"/>
    <mergeCell ref="AF3:AG3"/>
    <mergeCell ref="G4:M4"/>
    <mergeCell ref="G5:M5"/>
    <mergeCell ref="H31:AG31"/>
    <mergeCell ref="J15:M15"/>
    <mergeCell ref="H9:M9"/>
    <mergeCell ref="G10:M10"/>
    <mergeCell ref="G12:M12"/>
    <mergeCell ref="H13:M13"/>
    <mergeCell ref="H14:M14"/>
    <mergeCell ref="G24:M24"/>
    <mergeCell ref="H21:M21"/>
    <mergeCell ref="H22:M22"/>
    <mergeCell ref="H23:M23"/>
    <mergeCell ref="G17:M17"/>
    <mergeCell ref="G18:M18"/>
    <mergeCell ref="G20:M20"/>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5950-7752-48CF-B2A0-5C21E91EA6A2}">
  <dimension ref="A1"/>
  <sheetViews>
    <sheetView workbookViewId="0"/>
  </sheetViews>
  <sheetFormatPr defaultRowHeight="14.4"/>
  <sheetData/>
  <pageMargins left="0.7" right="0.7" top="0.75" bottom="0.75" header="0.3" footer="0.3"/>
  <customProperties>
    <customPr name="CafeStyleVersion"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B419-E44A-4398-8791-57F26B311EBC}">
  <sheetPr>
    <pageSetUpPr fitToPage="1"/>
  </sheetPr>
  <dimension ref="A1:BX187"/>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7" width="4.109375" style="892" customWidth="1"/>
    <col min="8" max="12" width="4.109375" style="146" customWidth="1"/>
    <col min="13" max="13" width="46.33203125" style="146" customWidth="1"/>
    <col min="14" max="14" width="11" style="146" bestFit="1" customWidth="1"/>
    <col min="15" max="18" width="10.5546875" style="146" bestFit="1" customWidth="1"/>
    <col min="19" max="21" width="10.5546875" style="294" bestFit="1" customWidth="1"/>
    <col min="22" max="23" width="0.88671875" style="146" customWidth="1"/>
    <col min="24" max="24" width="10.5546875" style="146" customWidth="1"/>
    <col min="25" max="25" width="9.88671875" style="641" bestFit="1" customWidth="1"/>
    <col min="26" max="27" width="0.88671875" style="146" customWidth="1"/>
    <col min="28" max="29" width="11.5546875" style="146" bestFit="1" customWidth="1"/>
    <col min="30" max="31" width="0.88671875" style="146" customWidth="1"/>
    <col min="32" max="32" width="10.5546875" style="146" customWidth="1"/>
    <col min="33" max="33" width="8.88671875" style="641" bestFit="1"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875</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U2" s="683"/>
      <c r="Y2" s="684"/>
      <c r="AG2" s="684"/>
      <c r="AH2" s="661"/>
    </row>
    <row r="3" spans="1:39" s="654" customFormat="1" ht="14.4">
      <c r="A3" s="656"/>
      <c r="B3" s="656"/>
      <c r="C3" s="656"/>
      <c r="D3" s="656"/>
      <c r="E3" s="656"/>
      <c r="F3" s="656"/>
      <c r="G3" s="892"/>
      <c r="H3" s="146"/>
      <c r="I3" s="146"/>
      <c r="J3" s="146"/>
      <c r="K3" s="146"/>
      <c r="L3" s="146"/>
      <c r="M3" s="146"/>
      <c r="N3" s="761"/>
      <c r="O3" s="761"/>
      <c r="P3" s="761"/>
      <c r="Q3" s="761"/>
      <c r="R3" s="761"/>
      <c r="S3" s="762"/>
      <c r="T3" s="762"/>
      <c r="U3" s="762"/>
      <c r="V3" s="702"/>
      <c r="W3" s="655"/>
      <c r="X3" s="1145" t="str">
        <f>+_xlfn.CONCAT("YOY ",LEFT(Manual!$D$1,2))</f>
        <v>YOY Q2</v>
      </c>
      <c r="Y3" s="1145"/>
      <c r="Z3" s="763"/>
      <c r="AA3" s="764"/>
      <c r="AB3" s="765"/>
      <c r="AC3" s="765"/>
      <c r="AD3" s="702"/>
      <c r="AE3" s="655"/>
      <c r="AF3" s="1145" t="s">
        <v>153</v>
      </c>
      <c r="AG3" s="1145"/>
      <c r="AH3" s="661"/>
    </row>
    <row r="4" spans="1:39" s="654" customFormat="1" ht="30" customHeight="1">
      <c r="A4" s="656"/>
      <c r="B4" s="656"/>
      <c r="C4" s="656"/>
      <c r="D4" s="656"/>
      <c r="E4" s="656"/>
      <c r="F4" s="656"/>
      <c r="G4" s="1144" t="s">
        <v>225</v>
      </c>
      <c r="H4" s="1144"/>
      <c r="I4" s="1144"/>
      <c r="J4" s="1144"/>
      <c r="K4" s="1144"/>
      <c r="L4" s="1144"/>
      <c r="M4" s="1144"/>
      <c r="N4" s="663" t="str">
        <f>+IS!N4</f>
        <v>Q1
2025</v>
      </c>
      <c r="O4" s="662" t="str">
        <f>+IS!O4</f>
        <v>Q2
2025</v>
      </c>
      <c r="P4" s="662" t="str">
        <f>+IS!P4</f>
        <v>Q3
2025</v>
      </c>
      <c r="Q4" s="662" t="str">
        <f>+IS!Q4</f>
        <v>Q4
2025</v>
      </c>
      <c r="R4" s="663" t="str">
        <f>+IS!R4</f>
        <v>Q1
2026</v>
      </c>
      <c r="S4" s="662" t="str">
        <f>+IS!S4</f>
        <v>Q2
2026</v>
      </c>
      <c r="T4" s="662" t="str">
        <f>+IS!T4</f>
        <v>Q3
2026</v>
      </c>
      <c r="U4" s="662" t="str">
        <f>+IS!U4</f>
        <v>Q4
2026</v>
      </c>
      <c r="V4" s="686"/>
      <c r="W4" s="655"/>
      <c r="X4" s="662" t="s">
        <v>151</v>
      </c>
      <c r="Y4" s="662" t="s">
        <v>152</v>
      </c>
      <c r="Z4" s="763"/>
      <c r="AA4" s="764"/>
      <c r="AB4" s="662" t="str">
        <f>+_xlfn.CONCAT("YTD ",RIGHT(Q4,4))</f>
        <v>YTD 2025</v>
      </c>
      <c r="AC4" s="662" t="str">
        <f>+_xlfn.CONCAT("YTD ",RIGHT(U4,4))</f>
        <v>YTD 2026</v>
      </c>
      <c r="AD4" s="686"/>
      <c r="AE4" s="655"/>
      <c r="AF4" s="662" t="s">
        <v>151</v>
      </c>
      <c r="AG4" s="662" t="s">
        <v>152</v>
      </c>
      <c r="AH4" s="661"/>
    </row>
    <row r="5" spans="1:39" ht="15" customHeight="1">
      <c r="G5" s="1135" t="s">
        <v>241</v>
      </c>
      <c r="H5" s="1157"/>
      <c r="I5" s="1157"/>
      <c r="J5" s="1157"/>
      <c r="K5" s="1157"/>
      <c r="L5" s="1157"/>
      <c r="M5" s="1157"/>
      <c r="N5" s="159"/>
      <c r="O5" s="147"/>
      <c r="P5" s="147"/>
      <c r="Q5" s="147"/>
      <c r="R5" s="159"/>
      <c r="V5" s="147"/>
      <c r="W5" s="159"/>
      <c r="X5" s="147"/>
      <c r="Y5" s="639"/>
      <c r="Z5" s="262"/>
      <c r="AA5" s="147"/>
      <c r="AB5" s="147"/>
      <c r="AC5" s="147"/>
      <c r="AD5" s="258"/>
      <c r="AE5" s="147"/>
      <c r="AF5" s="147"/>
      <c r="AG5" s="639"/>
      <c r="AH5"/>
    </row>
    <row r="6" spans="1:39" ht="14.4">
      <c r="G6" s="972"/>
      <c r="H6" s="1152" t="s">
        <v>94</v>
      </c>
      <c r="I6" s="1152"/>
      <c r="J6" s="1152"/>
      <c r="K6" s="1152"/>
      <c r="L6" s="1152"/>
      <c r="M6" s="1152"/>
      <c r="N6" s="1019"/>
      <c r="O6" s="1020"/>
      <c r="P6" s="1020"/>
      <c r="Q6" s="1020"/>
      <c r="R6" s="1019"/>
      <c r="S6" s="1020"/>
      <c r="T6" s="1020"/>
      <c r="V6" s="258"/>
      <c r="W6" s="147"/>
      <c r="X6" s="294"/>
      <c r="Y6" s="652"/>
      <c r="Z6" s="262"/>
      <c r="AA6" s="257"/>
      <c r="AB6" s="294"/>
      <c r="AC6" s="294"/>
      <c r="AD6" s="258"/>
      <c r="AE6" s="147"/>
      <c r="AF6" s="294"/>
      <c r="AG6" s="652"/>
      <c r="AH6"/>
    </row>
    <row r="7" spans="1:39" ht="15" customHeight="1">
      <c r="G7" s="972"/>
      <c r="H7" s="1169" t="s">
        <v>99</v>
      </c>
      <c r="I7" s="1169"/>
      <c r="J7" s="1169"/>
      <c r="K7" s="1169"/>
      <c r="L7" s="1169"/>
      <c r="M7" s="1169"/>
      <c r="N7" s="154"/>
      <c r="O7" s="153"/>
      <c r="P7" s="153"/>
      <c r="Q7" s="153"/>
      <c r="R7" s="154"/>
      <c r="S7" s="153"/>
      <c r="T7" s="153"/>
      <c r="U7" s="153"/>
      <c r="V7" s="318"/>
      <c r="W7" s="147"/>
      <c r="X7" s="153"/>
      <c r="Y7" s="637"/>
      <c r="Z7" s="262"/>
      <c r="AA7" s="257"/>
      <c r="AB7" s="153"/>
      <c r="AC7" s="153"/>
      <c r="AD7" s="318"/>
      <c r="AE7" s="147"/>
      <c r="AF7" s="153"/>
      <c r="AG7" s="637"/>
      <c r="AH7"/>
    </row>
    <row r="8" spans="1:39" s="610" customFormat="1" ht="15" customHeight="1">
      <c r="A8" s="600"/>
      <c r="B8" s="600"/>
      <c r="C8" s="600"/>
      <c r="D8" s="600"/>
      <c r="E8" s="600"/>
      <c r="F8" s="600"/>
      <c r="G8" s="972"/>
      <c r="H8" s="1155" t="s">
        <v>242</v>
      </c>
      <c r="I8" s="1155"/>
      <c r="J8" s="1155"/>
      <c r="K8" s="1155"/>
      <c r="L8" s="1155"/>
      <c r="M8" s="1155"/>
      <c r="N8" s="602">
        <f t="shared" ref="N8:Q10" si="0">+SUMIF($H$61:$H$82,$H8,N$61:N$82)*SUMIF($H$61:$H$82,$H8,$G$61:$G$82)</f>
        <v>111270.37773963185</v>
      </c>
      <c r="O8" s="601">
        <f t="shared" si="0"/>
        <v>115933.33368721513</v>
      </c>
      <c r="P8" s="601">
        <f t="shared" si="0"/>
        <v>118637.09193690095</v>
      </c>
      <c r="Q8" s="601">
        <f t="shared" si="0"/>
        <v>131305.31036238626</v>
      </c>
      <c r="R8" s="602">
        <f t="shared" ref="R8:S10" si="1">+SUMIF($H$61:$H$82,$H8,R$61:R$82)*SUMIF($H$61:$H$82,$H8,$G$61:$G$82)</f>
        <v>136355.10899602811</v>
      </c>
      <c r="S8" s="601">
        <f t="shared" si="1"/>
        <v>135509.10549501408</v>
      </c>
      <c r="T8" s="601"/>
      <c r="U8" s="601"/>
      <c r="V8" s="742"/>
      <c r="W8" s="605"/>
      <c r="X8" s="601">
        <f>+SUMIF($N$4:$U$4,$B$1,$N8:$U8)-SUMIF($N$4:$U$4,$A$1,$N8:$U8)</f>
        <v>19575.771807798956</v>
      </c>
      <c r="Y8" s="902">
        <f>IF(OR(ABS(IF(X8&lt;0,-ABS(X8/SUMIF($N$4:$U$4,$A$1,$N8:$U8)),ABS(X8/SUMIF($N$4:$U$4,$A$1,$N8:$U8))))&lt;minvar,ABS(IF(X8&lt;0,-ABS(X8/SUMIF($N$4:$U$4,$A$1,$N8:$U8)),ABS(X8/SUMIF($N$4:$U$4,$A$1,$N8:$U8))))&gt;maxvar)=TRUE,"nm",IF(X8&lt;0,-ABS(X8/SUMIF($N$4:$U$4,$A$1,$N8:$U8)),ABS(X8/SUMIF($N$4:$U$4,$A$1,$N8:$U8))))</f>
        <v>0.16885369535403716</v>
      </c>
      <c r="Z8" s="708"/>
      <c r="AA8" s="601"/>
      <c r="AB8" s="601">
        <f>+SUMIF($N$59:$Q$59,"Yes",$N8:$Q8)</f>
        <v>227203.71142684697</v>
      </c>
      <c r="AC8" s="601">
        <f>+SUMIF($R$59:$U$59,"Yes",$R8:$U8)</f>
        <v>271864.21449104219</v>
      </c>
      <c r="AD8" s="742"/>
      <c r="AE8" s="605"/>
      <c r="AF8" s="601">
        <f>+$AC8-$AB8</f>
        <v>44660.503064195218</v>
      </c>
      <c r="AG8" s="902">
        <f>IF(OR(ABS(IF(AF8&lt;0,-ABS(AF8/$AB8),ABS(AF8/$AB8)))&lt;minvar,ABS(IF(AF8&lt;0,-ABS(AF8/$AB8),ABS(AF8/$AB8)))&gt;maxvar)=TRUE,"nm",IF(AF8&lt;0,-ABS(AF8/$AB8),ABS(AF8/$AB8)))</f>
        <v>0.19656590459603743</v>
      </c>
      <c r="AH8" s="609"/>
    </row>
    <row r="9" spans="1:39" s="636" customFormat="1" ht="15" customHeight="1">
      <c r="A9" s="626"/>
      <c r="B9" s="626"/>
      <c r="C9" s="626"/>
      <c r="D9" s="626"/>
      <c r="E9" s="626"/>
      <c r="F9" s="626"/>
      <c r="G9" s="972"/>
      <c r="H9" s="1155" t="s">
        <v>243</v>
      </c>
      <c r="I9" s="1155"/>
      <c r="J9" s="1155"/>
      <c r="K9" s="1155"/>
      <c r="L9" s="1155"/>
      <c r="M9" s="1155"/>
      <c r="N9" s="630">
        <f t="shared" si="0"/>
        <v>152014.43639187611</v>
      </c>
      <c r="O9" s="629">
        <f t="shared" si="0"/>
        <v>154734.58171857041</v>
      </c>
      <c r="P9" s="629">
        <f t="shared" si="0"/>
        <v>172286.48846890862</v>
      </c>
      <c r="Q9" s="629">
        <f t="shared" si="0"/>
        <v>181407.47323064195</v>
      </c>
      <c r="R9" s="630">
        <f t="shared" si="1"/>
        <v>187366.4282321558</v>
      </c>
      <c r="S9" s="629">
        <f t="shared" si="1"/>
        <v>197598.41666312199</v>
      </c>
      <c r="T9" s="629"/>
      <c r="U9" s="629"/>
      <c r="V9" s="631"/>
      <c r="W9" s="634"/>
      <c r="X9" s="629">
        <f>+SUMIF($N$4:$U$4,$B$1,$N9:$U9)-SUMIF($N$4:$U$4,$A$1,$N9:$U9)</f>
        <v>42863.834944551578</v>
      </c>
      <c r="Y9" s="902">
        <f>IF(OR(ABS(IF(X9&lt;0,-ABS(X9/SUMIF($N$4:$U$4,$A$1,$N9:$U9)),ABS(X9/SUMIF($N$4:$U$4,$A$1,$N9:$U9))))&lt;minvar,ABS(IF(X9&lt;0,-ABS(X9/SUMIF($N$4:$U$4,$A$1,$N9:$U9)),ABS(X9/SUMIF($N$4:$U$4,$A$1,$N9:$U9))))&gt;maxvar)=TRUE,"nm",IF(X9&lt;0,-ABS(X9/SUMIF($N$4:$U$4,$A$1,$N9:$U9)),ABS(X9/SUMIF($N$4:$U$4,$A$1,$N9:$U9))))</f>
        <v>0.27701522483520757</v>
      </c>
      <c r="Z9" s="718"/>
      <c r="AA9" s="629"/>
      <c r="AB9" s="629">
        <f t="shared" ref="AB9:AB12" si="2">+SUMIF($N$59:$Q$59,"Yes",$N9:$Q9)</f>
        <v>306749.01811044652</v>
      </c>
      <c r="AC9" s="629">
        <f t="shared" ref="AC9:AC12" si="3">+SUMIF($R$59:$U$59,"Yes",$R9:$U9)</f>
        <v>384964.84489527775</v>
      </c>
      <c r="AD9" s="631"/>
      <c r="AE9" s="634"/>
      <c r="AF9" s="629">
        <f t="shared" ref="AF9:AF12" si="4">+$AC9-$AB9</f>
        <v>78215.826784831239</v>
      </c>
      <c r="AG9" s="902">
        <f>IF(OR(ABS(IF(AF9&lt;0,-ABS(AF9/$AB9),ABS(AF9/$AB9)))&lt;minvar,ABS(IF(AF9&lt;0,-ABS(AF9/$AB9),ABS(AF9/$AB9)))&gt;maxvar)=TRUE,"nm",IF(AF9&lt;0,-ABS(AF9/$AB9),ABS(AF9/$AB9)))</f>
        <v>0.25498313659367361</v>
      </c>
      <c r="AH9" s="635"/>
      <c r="AJ9" s="610"/>
      <c r="AK9" s="610"/>
      <c r="AL9" s="610"/>
      <c r="AM9" s="610"/>
    </row>
    <row r="10" spans="1:39" s="636" customFormat="1" ht="15" customHeight="1">
      <c r="A10" s="626"/>
      <c r="B10" s="626"/>
      <c r="C10" s="626"/>
      <c r="D10" s="626"/>
      <c r="E10" s="626"/>
      <c r="F10" s="626"/>
      <c r="G10" s="972"/>
      <c r="H10" s="1155" t="s">
        <v>244</v>
      </c>
      <c r="I10" s="1155"/>
      <c r="J10" s="1155"/>
      <c r="K10" s="1155"/>
      <c r="L10" s="1155"/>
      <c r="M10" s="1155"/>
      <c r="N10" s="630">
        <f t="shared" si="0"/>
        <v>24194.529030000002</v>
      </c>
      <c r="O10" s="629">
        <f t="shared" si="0"/>
        <v>24393.52131</v>
      </c>
      <c r="P10" s="629">
        <f t="shared" si="0"/>
        <v>24420.185280000002</v>
      </c>
      <c r="Q10" s="629">
        <f t="shared" si="0"/>
        <v>24347.207630000001</v>
      </c>
      <c r="R10" s="630">
        <f t="shared" si="1"/>
        <v>23618.55299</v>
      </c>
      <c r="S10" s="629">
        <f t="shared" si="1"/>
        <v>24118.351420000003</v>
      </c>
      <c r="T10" s="629"/>
      <c r="U10" s="629"/>
      <c r="V10" s="631"/>
      <c r="W10" s="634"/>
      <c r="X10" s="629">
        <f>+SUMIF($N$4:$U$4,$B$1,$N10:$U10)-SUMIF($N$4:$U$4,$A$1,$N10:$U10)</f>
        <v>-275.16988999999739</v>
      </c>
      <c r="Y10" s="902">
        <f>IF(OR(ABS(IF(X10&lt;0,-ABS(X10/SUMIF($N$4:$U$4,$A$1,$N10:$U10)),ABS(X10/SUMIF($N$4:$U$4,$A$1,$N10:$U10))))&lt;minvar,ABS(IF(X10&lt;0,-ABS(X10/SUMIF($N$4:$U$4,$A$1,$N10:$U10)),ABS(X10/SUMIF($N$4:$U$4,$A$1,$N10:$U10))))&gt;maxvar)=TRUE,"nm",IF(X10&lt;0,-ABS(X10/SUMIF($N$4:$U$4,$A$1,$N10:$U10)),ABS(X10/SUMIF($N$4:$U$4,$A$1,$N10:$U10))))</f>
        <v>-1.1280449694124025E-2</v>
      </c>
      <c r="Z10" s="718"/>
      <c r="AA10" s="629"/>
      <c r="AB10" s="629">
        <f t="shared" si="2"/>
        <v>48588.050340000002</v>
      </c>
      <c r="AC10" s="629">
        <f t="shared" si="3"/>
        <v>47736.904410000003</v>
      </c>
      <c r="AD10" s="631"/>
      <c r="AE10" s="634"/>
      <c r="AF10" s="629">
        <f t="shared" si="4"/>
        <v>-851.14592999999877</v>
      </c>
      <c r="AG10" s="902">
        <f>IF(OR(ABS(IF(AF10&lt;0,-ABS(AF10/$AB10),ABS(AF10/$AB10)))&lt;minvar,ABS(IF(AF10&lt;0,-ABS(AF10/$AB10),ABS(AF10/$AB10)))&gt;maxvar)=TRUE,"nm",IF(AF10&lt;0,-ABS(AF10/$AB10),ABS(AF10/$AB10)))</f>
        <v>-1.7517597928791449E-2</v>
      </c>
      <c r="AH10" s="635"/>
      <c r="AJ10" s="610"/>
      <c r="AK10" s="610"/>
      <c r="AL10" s="610"/>
      <c r="AM10" s="610"/>
    </row>
    <row r="11" spans="1:39" s="636" customFormat="1" ht="14.4">
      <c r="A11" s="626"/>
      <c r="B11" s="626"/>
      <c r="C11" s="626"/>
      <c r="D11" s="626"/>
      <c r="E11" s="626"/>
      <c r="F11" s="626"/>
      <c r="G11" s="972"/>
      <c r="H11" s="1169" t="s">
        <v>35</v>
      </c>
      <c r="I11" s="1169"/>
      <c r="J11" s="1169"/>
      <c r="K11" s="1169"/>
      <c r="L11" s="1169"/>
      <c r="M11" s="1169"/>
      <c r="N11" s="630">
        <f t="shared" ref="N11:S11" si="5">+SUMIF($H$61:$H$301,$H11,N$61:N$301)*SUMIF($H$61:$H$301,$H11,$G$61:$G$301)</f>
        <v>3332.5228925285755</v>
      </c>
      <c r="O11" s="629">
        <f t="shared" si="5"/>
        <v>3235.549069222473</v>
      </c>
      <c r="P11" s="629">
        <f t="shared" si="5"/>
        <v>3444.9903249169774</v>
      </c>
      <c r="Q11" s="629">
        <f t="shared" si="5"/>
        <v>3274.9862104853282</v>
      </c>
      <c r="R11" s="630">
        <f t="shared" si="5"/>
        <v>3304.7060560357754</v>
      </c>
      <c r="S11" s="629">
        <f t="shared" si="5"/>
        <v>3292.8897981625905</v>
      </c>
      <c r="T11" s="629"/>
      <c r="U11" s="629"/>
      <c r="V11" s="631"/>
      <c r="W11" s="634"/>
      <c r="X11" s="629">
        <f>+SUMIF($N$4:$U$4,$B$1,$N11:$U11)-SUMIF($N$4:$U$4,$A$1,$N11:$U11)</f>
        <v>57.340728940117515</v>
      </c>
      <c r="Y11" s="902">
        <f>IF(OR(ABS(IF(X11&lt;0,-ABS(X11/SUMIF($N$4:$U$4,$A$1,$N11:$U11)),ABS(X11/SUMIF($N$4:$U$4,$A$1,$N11:$U11))))&lt;minvar,ABS(IF(X11&lt;0,-ABS(X11/SUMIF($N$4:$U$4,$A$1,$N11:$U11)),ABS(X11/SUMIF($N$4:$U$4,$A$1,$N11:$U11))))&gt;maxvar)=TRUE,"nm",IF(X11&lt;0,-ABS(X11/SUMIF($N$4:$U$4,$A$1,$N11:$U11)),ABS(X11/SUMIF($N$4:$U$4,$A$1,$N11:$U11))))</f>
        <v>1.7722101477477183E-2</v>
      </c>
      <c r="Z11" s="718"/>
      <c r="AA11" s="629"/>
      <c r="AB11" s="629">
        <f t="shared" si="2"/>
        <v>6568.0719617510485</v>
      </c>
      <c r="AC11" s="629">
        <f t="shared" si="3"/>
        <v>6597.5958541983655</v>
      </c>
      <c r="AD11" s="631"/>
      <c r="AE11" s="634"/>
      <c r="AF11" s="629">
        <f t="shared" si="4"/>
        <v>29.523892447316939</v>
      </c>
      <c r="AG11" s="902">
        <f>IF(OR(ABS(IF(AF11&lt;0,-ABS(AF11/$AB11),ABS(AF11/$AB11)))&lt;minvar,ABS(IF(AF11&lt;0,-ABS(AF11/$AB11),ABS(AF11/$AB11)))&gt;maxvar)=TRUE,"nm",IF(AF11&lt;0,-ABS(AF11/$AB11),ABS(AF11/$AB11)))</f>
        <v>4.4950622677778738E-3</v>
      </c>
      <c r="AH11" s="635"/>
      <c r="AJ11" s="610"/>
      <c r="AK11" s="610"/>
      <c r="AL11" s="610"/>
      <c r="AM11" s="610"/>
    </row>
    <row r="12" spans="1:39" s="636" customFormat="1" ht="15" customHeight="1">
      <c r="A12" s="626"/>
      <c r="B12" s="626"/>
      <c r="C12" s="626"/>
      <c r="D12" s="626"/>
      <c r="E12" s="626"/>
      <c r="F12" s="626"/>
      <c r="G12" s="972"/>
      <c r="H12" s="1170" t="s">
        <v>197</v>
      </c>
      <c r="I12" s="1170"/>
      <c r="J12" s="1170"/>
      <c r="K12" s="1170"/>
      <c r="L12" s="1170"/>
      <c r="M12" s="1170"/>
      <c r="N12" s="677">
        <f t="shared" ref="N12:Q12" si="6">+SUM(N8:N11)</f>
        <v>290811.86605403648</v>
      </c>
      <c r="O12" s="676">
        <f t="shared" si="6"/>
        <v>298296.985785008</v>
      </c>
      <c r="P12" s="676">
        <f t="shared" si="6"/>
        <v>318788.7560107265</v>
      </c>
      <c r="Q12" s="676">
        <f t="shared" si="6"/>
        <v>340334.97743351356</v>
      </c>
      <c r="R12" s="677">
        <f t="shared" ref="R12" si="7">+SUM(R8:R11)</f>
        <v>350644.7962742197</v>
      </c>
      <c r="S12" s="676">
        <f t="shared" ref="S12" si="8">+SUM(S8:S11)</f>
        <v>360518.76337629865</v>
      </c>
      <c r="T12" s="676"/>
      <c r="U12" s="676"/>
      <c r="V12" s="631"/>
      <c r="W12" s="634"/>
      <c r="X12" s="676">
        <f>+SUMIF($N$4:$U$4,$B$1,$N12:$U12)-SUMIF($N$4:$U$4,$A$1,$N12:$U12)</f>
        <v>62221.777591290651</v>
      </c>
      <c r="Y12" s="927">
        <f>IF(OR(ABS(IF(X12&lt;0,-ABS(X12/SUMIF($N$4:$U$4,$A$1,$N12:$U12)),ABS(X12/SUMIF($N$4:$U$4,$A$1,$N12:$U12))))&lt;minvar,ABS(IF(X12&lt;0,-ABS(X12/SUMIF($N$4:$U$4,$A$1,$N12:$U12)),ABS(X12/SUMIF($N$4:$U$4,$A$1,$N12:$U12))))&gt;maxvar)=TRUE,"nm",IF(X12&lt;0,-ABS(X12/SUMIF($N$4:$U$4,$A$1,$N12:$U12)),ABS(X12/SUMIF($N$4:$U$4,$A$1,$N12:$U12))))</f>
        <v>0.20859003126547124</v>
      </c>
      <c r="Z12" s="718"/>
      <c r="AA12" s="629"/>
      <c r="AB12" s="676">
        <f t="shared" si="2"/>
        <v>589108.85183904448</v>
      </c>
      <c r="AC12" s="676">
        <f t="shared" si="3"/>
        <v>711163.55965051835</v>
      </c>
      <c r="AD12" s="631"/>
      <c r="AE12" s="634"/>
      <c r="AF12" s="676">
        <f t="shared" si="4"/>
        <v>122054.70781147387</v>
      </c>
      <c r="AG12" s="927">
        <f>IF(OR(ABS(IF(AF12&lt;0,-ABS(AF12/$AB12),ABS(AF12/$AB12)))&lt;minvar,ABS(IF(AF12&lt;0,-ABS(AF12/$AB12),ABS(AF12/$AB12)))&gt;maxvar)=TRUE,"nm",IF(AF12&lt;0,-ABS(AF12/$AB12),ABS(AF12/$AB12)))</f>
        <v>0.20718532310361804</v>
      </c>
      <c r="AH12" s="635"/>
      <c r="AJ12" s="610"/>
      <c r="AK12" s="610"/>
      <c r="AL12" s="610"/>
      <c r="AM12" s="610"/>
    </row>
    <row r="13" spans="1:39" ht="15" customHeight="1">
      <c r="G13" s="972"/>
      <c r="H13" s="974"/>
      <c r="I13" s="974"/>
      <c r="J13" s="974"/>
      <c r="K13" s="974"/>
      <c r="L13" s="974"/>
      <c r="M13" s="974"/>
      <c r="N13" s="265"/>
      <c r="O13" s="264"/>
      <c r="P13" s="264"/>
      <c r="Q13" s="264"/>
      <c r="R13" s="265"/>
      <c r="S13" s="264"/>
      <c r="T13" s="264"/>
      <c r="U13" s="264"/>
      <c r="V13" s="266"/>
      <c r="W13" s="257"/>
      <c r="X13" s="175"/>
      <c r="Y13" s="902"/>
      <c r="Z13" s="262"/>
      <c r="AA13" s="175"/>
      <c r="AB13" s="264"/>
      <c r="AC13" s="264"/>
      <c r="AD13" s="266"/>
      <c r="AE13" s="257"/>
      <c r="AF13" s="264"/>
      <c r="AG13" s="902"/>
      <c r="AH13"/>
      <c r="AJ13" s="610"/>
      <c r="AK13" s="610"/>
      <c r="AL13" s="610"/>
      <c r="AM13" s="610"/>
    </row>
    <row r="14" spans="1:39" ht="15" customHeight="1">
      <c r="G14" s="972"/>
      <c r="H14" s="1152" t="s">
        <v>102</v>
      </c>
      <c r="I14" s="1152"/>
      <c r="J14" s="1152"/>
      <c r="K14" s="1152"/>
      <c r="L14" s="1152"/>
      <c r="M14" s="1152"/>
      <c r="N14" s="317"/>
      <c r="O14" s="316"/>
      <c r="P14" s="316"/>
      <c r="Q14" s="316"/>
      <c r="R14" s="317"/>
      <c r="S14" s="316"/>
      <c r="T14" s="316"/>
      <c r="U14" s="316"/>
      <c r="V14" s="266"/>
      <c r="W14" s="257"/>
      <c r="X14" s="175"/>
      <c r="Y14" s="902"/>
      <c r="Z14" s="262"/>
      <c r="AA14" s="175"/>
      <c r="AB14" s="264"/>
      <c r="AC14" s="264"/>
      <c r="AD14" s="266"/>
      <c r="AE14" s="257"/>
      <c r="AF14" s="264"/>
      <c r="AG14" s="902"/>
      <c r="AH14"/>
      <c r="AJ14" s="610"/>
      <c r="AK14" s="610"/>
      <c r="AL14" s="610"/>
      <c r="AM14" s="610"/>
    </row>
    <row r="15" spans="1:39" s="636" customFormat="1" ht="15" customHeight="1">
      <c r="A15" s="626"/>
      <c r="B15" s="626"/>
      <c r="C15" s="626"/>
      <c r="D15" s="626"/>
      <c r="E15" s="626"/>
      <c r="F15" s="626"/>
      <c r="G15" s="972"/>
      <c r="H15" s="1169" t="s">
        <v>104</v>
      </c>
      <c r="I15" s="1169"/>
      <c r="J15" s="1169"/>
      <c r="K15" s="1169"/>
      <c r="L15" s="1169"/>
      <c r="M15" s="1169"/>
      <c r="N15" s="630">
        <f t="shared" ref="N15:S16" si="9">+SUMIF($H$61:$H$301,$H15,N$61:N$301)*SUMIF($H$61:$H$301,$H15,$G$61:$G$301)</f>
        <v>1337.25986976587</v>
      </c>
      <c r="O15" s="629">
        <f t="shared" si="9"/>
        <v>1367.9502976109</v>
      </c>
      <c r="P15" s="629">
        <f t="shared" si="9"/>
        <v>1354.60068701767</v>
      </c>
      <c r="Q15" s="629">
        <f t="shared" si="9"/>
        <v>1321.07748677578</v>
      </c>
      <c r="R15" s="630">
        <f t="shared" si="9"/>
        <v>1333.7487780389099</v>
      </c>
      <c r="S15" s="629">
        <f t="shared" si="9"/>
        <v>1304.0705079465201</v>
      </c>
      <c r="T15" s="629"/>
      <c r="U15" s="629"/>
      <c r="V15" s="714"/>
      <c r="W15" s="634"/>
      <c r="X15" s="629">
        <f>+SUMIF($N$4:$U$4,$B$1,$N15:$U15)-SUMIF($N$4:$U$4,$A$1,$N15:$U15)</f>
        <v>-63.879789664379814</v>
      </c>
      <c r="Y15" s="902">
        <f>IF(OR(ABS(IF(X15&lt;0,-ABS(X15/SUMIF($N$4:$U$4,$A$1,$N15:$U15)),ABS(X15/SUMIF($N$4:$U$4,$A$1,$N15:$U15))))&lt;minvar,ABS(IF(X15&lt;0,-ABS(X15/SUMIF($N$4:$U$4,$A$1,$N15:$U15)),ABS(X15/SUMIF($N$4:$U$4,$A$1,$N15:$U15))))&gt;maxvar)=TRUE,"nm",IF(X15&lt;0,-ABS(X15/SUMIF($N$4:$U$4,$A$1,$N15:$U15)),ABS(X15/SUMIF($N$4:$U$4,$A$1,$N15:$U15))))</f>
        <v>-4.6697449297642385E-2</v>
      </c>
      <c r="Z15" s="718"/>
      <c r="AA15" s="629"/>
      <c r="AB15" s="629">
        <f t="shared" ref="AB15:AB16" si="10">+SUMIF($N$59:$Q$59,"Yes",$N15:$Q15)</f>
        <v>2705.2101673767702</v>
      </c>
      <c r="AC15" s="629">
        <f t="shared" ref="AC15:AC16" si="11">+SUMIF($R$59:$U$59,"Yes",$R15:$U15)</f>
        <v>2637.8192859854298</v>
      </c>
      <c r="AD15" s="714"/>
      <c r="AE15" s="634"/>
      <c r="AF15" s="629">
        <f t="shared" ref="AF15:AF16" si="12">+$AC15-$AB15</f>
        <v>-67.390881391340372</v>
      </c>
      <c r="AG15" s="902">
        <f>IF(OR(ABS(IF(AF15&lt;0,-ABS(AF15/$AB15),ABS(AF15/$AB15)))&lt;minvar,ABS(IF(AF15&lt;0,-ABS(AF15/$AB15),ABS(AF15/$AB15)))&gt;maxvar)=TRUE,"nm",IF(AF15&lt;0,-ABS(AF15/$AB15),ABS(AF15/$AB15)))</f>
        <v>-2.4911514160354128E-2</v>
      </c>
      <c r="AH15" s="635"/>
      <c r="AJ15" s="610"/>
      <c r="AK15" s="610"/>
      <c r="AL15" s="610"/>
      <c r="AM15" s="610"/>
    </row>
    <row r="16" spans="1:39" s="636" customFormat="1" ht="14.4">
      <c r="A16" s="626"/>
      <c r="B16" s="626"/>
      <c r="C16" s="626"/>
      <c r="D16" s="626"/>
      <c r="E16" s="626"/>
      <c r="F16" s="626"/>
      <c r="G16" s="972"/>
      <c r="H16" s="1169" t="s">
        <v>105</v>
      </c>
      <c r="I16" s="1169"/>
      <c r="J16" s="1169"/>
      <c r="K16" s="1169"/>
      <c r="L16" s="1169"/>
      <c r="M16" s="1169"/>
      <c r="N16" s="630">
        <f t="shared" si="9"/>
        <v>3277.0287626842774</v>
      </c>
      <c r="O16" s="629">
        <f t="shared" si="9"/>
        <v>3467.7101625964401</v>
      </c>
      <c r="P16" s="629">
        <f t="shared" si="9"/>
        <v>3484.7473452871973</v>
      </c>
      <c r="Q16" s="629">
        <f t="shared" si="9"/>
        <v>3526.0080192339697</v>
      </c>
      <c r="R16" s="630">
        <f t="shared" si="9"/>
        <v>3457.1974621846884</v>
      </c>
      <c r="S16" s="629">
        <f t="shared" si="9"/>
        <v>3449.9284719601574</v>
      </c>
      <c r="T16" s="629"/>
      <c r="U16" s="629"/>
      <c r="V16" s="631"/>
      <c r="W16" s="634"/>
      <c r="X16" s="629">
        <f>+SUMIF($N$4:$U$4,$B$1,$N16:$U16)-SUMIF($N$4:$U$4,$A$1,$N16:$U16)</f>
        <v>-17.781690636282747</v>
      </c>
      <c r="Y16" s="902">
        <f>IF(OR(ABS(IF(X16&lt;0,-ABS(X16/SUMIF($N$4:$U$4,$A$1,$N16:$U16)),ABS(X16/SUMIF($N$4:$U$4,$A$1,$N16:$U16))))&lt;minvar,ABS(IF(X16&lt;0,-ABS(X16/SUMIF($N$4:$U$4,$A$1,$N16:$U16)),ABS(X16/SUMIF($N$4:$U$4,$A$1,$N16:$U16))))&gt;maxvar)=TRUE,"nm",IF(X16&lt;0,-ABS(X16/SUMIF($N$4:$U$4,$A$1,$N16:$U16)),ABS(X16/SUMIF($N$4:$U$4,$A$1,$N16:$U16))))</f>
        <v>-5.1277903292150416E-3</v>
      </c>
      <c r="Z16" s="718"/>
      <c r="AA16" s="629"/>
      <c r="AB16" s="629">
        <f t="shared" si="10"/>
        <v>6744.738925280717</v>
      </c>
      <c r="AC16" s="629">
        <f t="shared" si="11"/>
        <v>6907.1259341448458</v>
      </c>
      <c r="AD16" s="631"/>
      <c r="AE16" s="634"/>
      <c r="AF16" s="629">
        <f t="shared" si="12"/>
        <v>162.3870088641288</v>
      </c>
      <c r="AG16" s="902">
        <f>IF(OR(ABS(IF(AF16&lt;0,-ABS(AF16/$AB16),ABS(AF16/$AB16)))&lt;minvar,ABS(IF(AF16&lt;0,-ABS(AF16/$AB16),ABS(AF16/$AB16)))&gt;maxvar)=TRUE,"nm",IF(AF16&lt;0,-ABS(AF16/$AB16),ABS(AF16/$AB16)))</f>
        <v>2.4076100003732944E-2</v>
      </c>
      <c r="AH16" s="635"/>
      <c r="AJ16" s="610"/>
      <c r="AK16" s="610"/>
      <c r="AL16" s="610"/>
      <c r="AM16" s="610"/>
    </row>
    <row r="17" spans="1:39" s="636" customFormat="1" ht="15" customHeight="1">
      <c r="A17" s="626"/>
      <c r="B17" s="626"/>
      <c r="C17" s="626"/>
      <c r="D17" s="626"/>
      <c r="E17" s="626"/>
      <c r="F17" s="626"/>
      <c r="G17" s="972"/>
      <c r="H17" s="1169" t="s">
        <v>107</v>
      </c>
      <c r="I17" s="1169"/>
      <c r="J17" s="1169"/>
      <c r="K17" s="1169"/>
      <c r="L17" s="1169"/>
      <c r="M17" s="1169"/>
      <c r="N17" s="630"/>
      <c r="O17" s="629"/>
      <c r="P17" s="629"/>
      <c r="Q17" s="629"/>
      <c r="R17" s="630"/>
      <c r="S17" s="629"/>
      <c r="T17" s="629"/>
      <c r="U17" s="629"/>
      <c r="V17" s="631"/>
      <c r="W17" s="634"/>
      <c r="X17" s="629"/>
      <c r="Y17" s="902"/>
      <c r="Z17" s="718"/>
      <c r="AA17" s="629"/>
      <c r="AB17" s="629"/>
      <c r="AC17" s="629"/>
      <c r="AD17" s="631"/>
      <c r="AE17" s="634"/>
      <c r="AF17" s="629"/>
      <c r="AG17" s="902"/>
      <c r="AH17" s="635"/>
      <c r="AJ17" s="610"/>
      <c r="AK17" s="610"/>
      <c r="AL17" s="610"/>
      <c r="AM17" s="610"/>
    </row>
    <row r="18" spans="1:39" s="636" customFormat="1" ht="15" customHeight="1">
      <c r="A18" s="626"/>
      <c r="B18" s="626"/>
      <c r="C18" s="626"/>
      <c r="D18" s="626"/>
      <c r="E18" s="626"/>
      <c r="F18" s="626"/>
      <c r="G18" s="972"/>
      <c r="H18" s="1155" t="s">
        <v>242</v>
      </c>
      <c r="I18" s="1155"/>
      <c r="J18" s="1155"/>
      <c r="K18" s="1155"/>
      <c r="L18" s="1155"/>
      <c r="M18" s="1155"/>
      <c r="N18" s="630">
        <f t="shared" ref="N18:S19" si="13">+SUMIF($H$83:$H$301,$H18,N$83:N$301)*SUMIF($H$83:$H$301,$H18,$G$83:$G$301)</f>
        <v>77266.531494286857</v>
      </c>
      <c r="O18" s="629">
        <f t="shared" si="13"/>
        <v>82935.441205120776</v>
      </c>
      <c r="P18" s="629">
        <f t="shared" si="13"/>
        <v>82866.96761402837</v>
      </c>
      <c r="Q18" s="629">
        <f t="shared" si="13"/>
        <v>89561.303025591013</v>
      </c>
      <c r="R18" s="630">
        <f t="shared" si="13"/>
        <v>95167.699535514621</v>
      </c>
      <c r="S18" s="629">
        <f t="shared" si="13"/>
        <v>95815.970654571458</v>
      </c>
      <c r="T18" s="629"/>
      <c r="U18" s="629"/>
      <c r="V18" s="631"/>
      <c r="W18" s="634"/>
      <c r="X18" s="629">
        <f>+SUMIF($N$4:$U$4,$B$1,$N18:$U18)-SUMIF($N$4:$U$4,$A$1,$N18:$U18)</f>
        <v>12880.529449450682</v>
      </c>
      <c r="Y18" s="902">
        <f>IF(OR(ABS(IF(X18&lt;0,-ABS(X18/SUMIF($N$4:$U$4,$A$1,$N18:$U18)),ABS(X18/SUMIF($N$4:$U$4,$A$1,$N18:$U18))))&lt;minvar,ABS(IF(X18&lt;0,-ABS(X18/SUMIF($N$4:$U$4,$A$1,$N18:$U18)),ABS(X18/SUMIF($N$4:$U$4,$A$1,$N18:$U18))))&gt;maxvar)=TRUE,"nm",IF(X18&lt;0,-ABS(X18/SUMIF($N$4:$U$4,$A$1,$N18:$U18)),ABS(X18/SUMIF($N$4:$U$4,$A$1,$N18:$U18))))</f>
        <v>0.15530790289755383</v>
      </c>
      <c r="Z18" s="718"/>
      <c r="AA18" s="629"/>
      <c r="AB18" s="629">
        <f t="shared" ref="AB18:AB22" si="14">+SUMIF($N$59:$Q$59,"Yes",$N18:$Q18)</f>
        <v>160201.97269940763</v>
      </c>
      <c r="AC18" s="629">
        <f t="shared" ref="AC18:AC22" si="15">+SUMIF($R$59:$U$59,"Yes",$R18:$U18)</f>
        <v>190983.67019008606</v>
      </c>
      <c r="AD18" s="631"/>
      <c r="AE18" s="634"/>
      <c r="AF18" s="629">
        <f t="shared" ref="AF18:AF22" si="16">+$AC18-$AB18</f>
        <v>30781.697490678431</v>
      </c>
      <c r="AG18" s="902">
        <f>IF(OR(ABS(IF(AF18&lt;0,-ABS(AF18/$AB18),ABS(AF18/$AB18)))&lt;minvar,ABS(IF(AF18&lt;0,-ABS(AF18/$AB18),ABS(AF18/$AB18)))&gt;maxvar)=TRUE,"nm",IF(AF18&lt;0,-ABS(AF18/$AB18),ABS(AF18/$AB18)))</f>
        <v>0.19214306148673443</v>
      </c>
      <c r="AH18" s="635"/>
      <c r="AJ18" s="610"/>
      <c r="AK18" s="610"/>
      <c r="AL18" s="610"/>
      <c r="AM18" s="610"/>
    </row>
    <row r="19" spans="1:39" s="636" customFormat="1" ht="15" customHeight="1">
      <c r="A19" s="626"/>
      <c r="B19" s="626"/>
      <c r="C19" s="626"/>
      <c r="D19" s="626"/>
      <c r="E19" s="626"/>
      <c r="F19" s="626"/>
      <c r="G19" s="972"/>
      <c r="H19" s="1155" t="s">
        <v>243</v>
      </c>
      <c r="I19" s="1155"/>
      <c r="J19" s="1155"/>
      <c r="K19" s="1155"/>
      <c r="L19" s="1155"/>
      <c r="M19" s="1155"/>
      <c r="N19" s="630">
        <f t="shared" si="13"/>
        <v>76246.475838191138</v>
      </c>
      <c r="O19" s="629">
        <f t="shared" si="13"/>
        <v>78009.898153455579</v>
      </c>
      <c r="P19" s="629">
        <f t="shared" si="13"/>
        <v>87336.799840919135</v>
      </c>
      <c r="Q19" s="629">
        <f t="shared" si="13"/>
        <v>93247.031850916566</v>
      </c>
      <c r="R19" s="630">
        <f t="shared" si="13"/>
        <v>95359.994288721209</v>
      </c>
      <c r="S19" s="629">
        <f t="shared" si="13"/>
        <v>100677.2724867955</v>
      </c>
      <c r="T19" s="629"/>
      <c r="U19" s="629"/>
      <c r="V19" s="631"/>
      <c r="W19" s="634"/>
      <c r="X19" s="629">
        <f>+SUMIF($N$4:$U$4,$B$1,$N19:$U19)-SUMIF($N$4:$U$4,$A$1,$N19:$U19)</f>
        <v>22667.374333339918</v>
      </c>
      <c r="Y19" s="902">
        <f>IF(OR(ABS(IF(X19&lt;0,-ABS(X19/SUMIF($N$4:$U$4,$A$1,$N19:$U19)),ABS(X19/SUMIF($N$4:$U$4,$A$1,$N19:$U19))))&lt;minvar,ABS(IF(X19&lt;0,-ABS(X19/SUMIF($N$4:$U$4,$A$1,$N19:$U19)),ABS(X19/SUMIF($N$4:$U$4,$A$1,$N19:$U19))))&gt;maxvar)=TRUE,"nm",IF(X19&lt;0,-ABS(X19/SUMIF($N$4:$U$4,$A$1,$N19:$U19)),ABS(X19/SUMIF($N$4:$U$4,$A$1,$N19:$U19))))</f>
        <v>0.29057049002615354</v>
      </c>
      <c r="Z19" s="718"/>
      <c r="AA19" s="629"/>
      <c r="AB19" s="629">
        <f t="shared" si="14"/>
        <v>154256.37399164672</v>
      </c>
      <c r="AC19" s="629">
        <f t="shared" si="15"/>
        <v>196037.26677551671</v>
      </c>
      <c r="AD19" s="631"/>
      <c r="AE19" s="634"/>
      <c r="AF19" s="629">
        <f t="shared" si="16"/>
        <v>41780.892783869989</v>
      </c>
      <c r="AG19" s="902">
        <f>IF(OR(ABS(IF(AF19&lt;0,-ABS(AF19/$AB19),ABS(AF19/$AB19)))&lt;minvar,ABS(IF(AF19&lt;0,-ABS(AF19/$AB19),ABS(AF19/$AB19)))&gt;maxvar)=TRUE,"nm",IF(AF19&lt;0,-ABS(AF19/$AB19),ABS(AF19/$AB19)))</f>
        <v>0.27085359069915976</v>
      </c>
      <c r="AH19" s="635"/>
      <c r="AJ19" s="610"/>
      <c r="AK19" s="610"/>
      <c r="AL19" s="610"/>
      <c r="AM19" s="610"/>
    </row>
    <row r="20" spans="1:39" s="636" customFormat="1" ht="15" customHeight="1">
      <c r="A20" s="626"/>
      <c r="B20" s="626"/>
      <c r="C20" s="626"/>
      <c r="D20" s="626"/>
      <c r="E20" s="626"/>
      <c r="F20" s="626"/>
      <c r="G20" s="972"/>
      <c r="H20" s="1169" t="s">
        <v>110</v>
      </c>
      <c r="I20" s="1169"/>
      <c r="J20" s="1169"/>
      <c r="K20" s="1169"/>
      <c r="L20" s="1169"/>
      <c r="M20" s="1169"/>
      <c r="N20" s="630">
        <f t="shared" ref="N20:S20" si="17">+SUMIF($H$61:$H$301,$H20,N$61:N$301)*SUMIF($H$61:$H$301,$H20,$G$61:$G$301)</f>
        <v>51414.085738853566</v>
      </c>
      <c r="O20" s="629">
        <f t="shared" si="17"/>
        <v>53095.650267709898</v>
      </c>
      <c r="P20" s="629">
        <f t="shared" si="17"/>
        <v>49522.154362542751</v>
      </c>
      <c r="Q20" s="629">
        <f t="shared" si="17"/>
        <v>52070.739101579318</v>
      </c>
      <c r="R20" s="630">
        <f t="shared" si="17"/>
        <v>54426.655845532252</v>
      </c>
      <c r="S20" s="629">
        <f t="shared" si="17"/>
        <v>55055.911856077764</v>
      </c>
      <c r="T20" s="629"/>
      <c r="U20" s="629"/>
      <c r="V20" s="631"/>
      <c r="W20" s="634"/>
      <c r="X20" s="629">
        <f>+SUMIF($N$4:$U$4,$B$1,$N20:$U20)-SUMIF($N$4:$U$4,$A$1,$N20:$U20)</f>
        <v>1960.2615883678664</v>
      </c>
      <c r="Y20" s="902">
        <f>IF(OR(ABS(IF(X20&lt;0,-ABS(X20/SUMIF($N$4:$U$4,$A$1,$N20:$U20)),ABS(X20/SUMIF($N$4:$U$4,$A$1,$N20:$U20))))&lt;minvar,ABS(IF(X20&lt;0,-ABS(X20/SUMIF($N$4:$U$4,$A$1,$N20:$U20)),ABS(X20/SUMIF($N$4:$U$4,$A$1,$N20:$U20))))&gt;maxvar)=TRUE,"nm",IF(X20&lt;0,-ABS(X20/SUMIF($N$4:$U$4,$A$1,$N20:$U20)),ABS(X20/SUMIF($N$4:$U$4,$A$1,$N20:$U20))))</f>
        <v>3.6919438381188802E-2</v>
      </c>
      <c r="Z20" s="718"/>
      <c r="AA20" s="629"/>
      <c r="AB20" s="629">
        <f t="shared" si="14"/>
        <v>104509.73600656347</v>
      </c>
      <c r="AC20" s="629">
        <f t="shared" si="15"/>
        <v>109482.56770161001</v>
      </c>
      <c r="AD20" s="631"/>
      <c r="AE20" s="634"/>
      <c r="AF20" s="629">
        <f t="shared" si="16"/>
        <v>4972.8316950465378</v>
      </c>
      <c r="AG20" s="902">
        <f>IF(OR(ABS(IF(AF20&lt;0,-ABS(AF20/$AB20),ABS(AF20/$AB20)))&lt;minvar,ABS(IF(AF20&lt;0,-ABS(AF20/$AB20),ABS(AF20/$AB20)))&gt;maxvar)=TRUE,"nm",IF(AF20&lt;0,-ABS(AF20/$AB20),ABS(AF20/$AB20)))</f>
        <v>4.7582473031356924E-2</v>
      </c>
      <c r="AH20" s="635"/>
      <c r="AJ20" s="610"/>
      <c r="AK20" s="610"/>
      <c r="AL20" s="610"/>
      <c r="AM20" s="610"/>
    </row>
    <row r="21" spans="1:39" s="636" customFormat="1" ht="15" customHeight="1">
      <c r="A21" s="626"/>
      <c r="B21" s="626"/>
      <c r="C21" s="626"/>
      <c r="D21" s="626"/>
      <c r="E21" s="626"/>
      <c r="F21" s="626"/>
      <c r="G21" s="972"/>
      <c r="H21" s="1170" t="s">
        <v>198</v>
      </c>
      <c r="I21" s="1170"/>
      <c r="J21" s="1170"/>
      <c r="K21" s="1170"/>
      <c r="L21" s="1170"/>
      <c r="M21" s="1170"/>
      <c r="N21" s="677">
        <f t="shared" ref="N21:Q21" si="18">+SUM(N15:N20)</f>
        <v>209541.38170378172</v>
      </c>
      <c r="O21" s="676">
        <f t="shared" si="18"/>
        <v>218876.65008649358</v>
      </c>
      <c r="P21" s="676">
        <f t="shared" si="18"/>
        <v>224565.26984979512</v>
      </c>
      <c r="Q21" s="676">
        <f t="shared" si="18"/>
        <v>239726.15948409666</v>
      </c>
      <c r="R21" s="677">
        <f t="shared" ref="R21" si="19">+SUM(R15:R20)</f>
        <v>249745.29590999166</v>
      </c>
      <c r="S21" s="676">
        <f t="shared" ref="S21" si="20">+SUM(S15:S20)</f>
        <v>256303.15397735141</v>
      </c>
      <c r="T21" s="676"/>
      <c r="U21" s="676"/>
      <c r="V21" s="631"/>
      <c r="W21" s="634"/>
      <c r="X21" s="676">
        <f>+SUMIF($N$4:$U$4,$B$1,$N21:$U21)-SUMIF($N$4:$U$4,$A$1,$N21:$U21)</f>
        <v>37426.503890857828</v>
      </c>
      <c r="Y21" s="927">
        <f>IF(OR(ABS(IF(X21&lt;0,-ABS(X21/SUMIF($N$4:$U$4,$A$1,$N21:$U21)),ABS(X21/SUMIF($N$4:$U$4,$A$1,$N21:$U21))))&lt;minvar,ABS(IF(X21&lt;0,-ABS(X21/SUMIF($N$4:$U$4,$A$1,$N21:$U21)),ABS(X21/SUMIF($N$4:$U$4,$A$1,$N21:$U21))))&gt;maxvar)=TRUE,"nm",IF(X21&lt;0,-ABS(X21/SUMIF($N$4:$U$4,$A$1,$N21:$U21)),ABS(X21/SUMIF($N$4:$U$4,$A$1,$N21:$U21))))</f>
        <v>0.17099358874538687</v>
      </c>
      <c r="Z21" s="718"/>
      <c r="AA21" s="629"/>
      <c r="AB21" s="676">
        <f t="shared" si="14"/>
        <v>428418.0317902753</v>
      </c>
      <c r="AC21" s="676">
        <f t="shared" si="15"/>
        <v>506048.4498873431</v>
      </c>
      <c r="AD21" s="631"/>
      <c r="AE21" s="634"/>
      <c r="AF21" s="676">
        <f t="shared" si="16"/>
        <v>77630.418097067799</v>
      </c>
      <c r="AG21" s="927">
        <f>IF(OR(ABS(IF(AF21&lt;0,-ABS(AF21/$AB21),ABS(AF21/$AB21)))&lt;minvar,ABS(IF(AF21&lt;0,-ABS(AF21/$AB21),ABS(AF21/$AB21)))&gt;maxvar)=TRUE,"nm",IF(AF21&lt;0,-ABS(AF21/$AB21),ABS(AF21/$AB21)))</f>
        <v>0.18120249928012003</v>
      </c>
      <c r="AH21" s="635"/>
      <c r="AJ21" s="610"/>
      <c r="AK21" s="610"/>
      <c r="AL21" s="610"/>
      <c r="AM21" s="610"/>
    </row>
    <row r="22" spans="1:39" s="610" customFormat="1" ht="15" customHeight="1" thickBot="1">
      <c r="A22" s="600"/>
      <c r="B22" s="600"/>
      <c r="C22" s="600"/>
      <c r="D22" s="600"/>
      <c r="E22" s="600"/>
      <c r="F22" s="600"/>
      <c r="G22" s="972"/>
      <c r="H22" s="1170" t="s">
        <v>113</v>
      </c>
      <c r="I22" s="1170"/>
      <c r="J22" s="1170"/>
      <c r="K22" s="1170"/>
      <c r="L22" s="1170"/>
      <c r="M22" s="1170"/>
      <c r="N22" s="670">
        <f t="shared" ref="N22:Q22" si="21">+N12-N21</f>
        <v>81270.484350254759</v>
      </c>
      <c r="O22" s="669">
        <f t="shared" si="21"/>
        <v>79420.33569851442</v>
      </c>
      <c r="P22" s="669">
        <f t="shared" si="21"/>
        <v>94223.486160931381</v>
      </c>
      <c r="Q22" s="669">
        <f t="shared" si="21"/>
        <v>100608.8179494169</v>
      </c>
      <c r="R22" s="670">
        <f t="shared" ref="R22" si="22">+R12-R21</f>
        <v>100899.50036422804</v>
      </c>
      <c r="S22" s="669">
        <f t="shared" ref="S22" si="23">+S12-S21</f>
        <v>104215.60939894724</v>
      </c>
      <c r="T22" s="669"/>
      <c r="U22" s="669"/>
      <c r="V22" s="603"/>
      <c r="W22" s="605"/>
      <c r="X22" s="669">
        <f>+SUMIF($N$4:$U$4,$B$1,$N22:$U22)-SUMIF($N$4:$U$4,$A$1,$N22:$U22)</f>
        <v>24795.273700432823</v>
      </c>
      <c r="Y22" s="905">
        <f>IF(OR(ABS(IF(X22&lt;0,-ABS(X22/SUMIF($N$4:$U$4,$A$1,$N22:$U22)),ABS(X22/SUMIF($N$4:$U$4,$A$1,$N22:$U22))))&lt;minvar,ABS(IF(X22&lt;0,-ABS(X22/SUMIF($N$4:$U$4,$A$1,$N22:$U22)),ABS(X22/SUMIF($N$4:$U$4,$A$1,$N22:$U22))))&gt;maxvar)=TRUE,"nm",IF(X22&lt;0,-ABS(X22/SUMIF($N$4:$U$4,$A$1,$N22:$U22)),ABS(X22/SUMIF($N$4:$U$4,$A$1,$N22:$U22))))</f>
        <v>0.31220308353464471</v>
      </c>
      <c r="Z22" s="708"/>
      <c r="AA22" s="601"/>
      <c r="AB22" s="669">
        <f t="shared" si="14"/>
        <v>160690.82004876918</v>
      </c>
      <c r="AC22" s="669">
        <f t="shared" si="15"/>
        <v>205115.10976317528</v>
      </c>
      <c r="AD22" s="603"/>
      <c r="AE22" s="605"/>
      <c r="AF22" s="669">
        <f t="shared" si="16"/>
        <v>44424.289714406099</v>
      </c>
      <c r="AG22" s="905">
        <f>IF(OR(ABS(IF(AF22&lt;0,-ABS(AF22/$AB22),ABS(AF22/$AB22)))&lt;minvar,ABS(IF(AF22&lt;0,-ABS(AF22/$AB22),ABS(AF22/$AB22)))&gt;maxvar)=TRUE,"nm",IF(AF22&lt;0,-ABS(AF22/$AB22),ABS(AF22/$AB22)))</f>
        <v>0.27645816793344796</v>
      </c>
      <c r="AH22" s="609"/>
    </row>
    <row r="23" spans="1:39" ht="15" customHeight="1" thickTop="1">
      <c r="G23" s="972"/>
      <c r="H23" s="147"/>
      <c r="I23" s="147"/>
      <c r="J23" s="147"/>
      <c r="K23" s="147"/>
      <c r="L23" s="975"/>
      <c r="M23" s="147"/>
      <c r="N23" s="306"/>
      <c r="O23" s="302"/>
      <c r="P23" s="302"/>
      <c r="Q23" s="302"/>
      <c r="R23" s="306"/>
      <c r="S23" s="302"/>
      <c r="T23" s="302"/>
      <c r="U23" s="302"/>
      <c r="V23" s="305"/>
      <c r="W23" s="301"/>
      <c r="X23" s="302"/>
      <c r="Y23" s="902"/>
      <c r="Z23" s="262"/>
      <c r="AA23" s="259"/>
      <c r="AB23" s="302"/>
      <c r="AC23" s="302"/>
      <c r="AD23" s="305"/>
      <c r="AE23" s="301"/>
      <c r="AF23" s="302"/>
      <c r="AG23" s="902"/>
      <c r="AH23"/>
      <c r="AJ23" s="610"/>
      <c r="AK23" s="610"/>
      <c r="AL23" s="610"/>
      <c r="AM23" s="610"/>
    </row>
    <row r="24" spans="1:39" ht="15" customHeight="1">
      <c r="G24" s="1135" t="s">
        <v>245</v>
      </c>
      <c r="H24" s="1157"/>
      <c r="I24" s="1157"/>
      <c r="J24" s="1157"/>
      <c r="K24" s="1157"/>
      <c r="L24" s="1157"/>
      <c r="M24" s="1157"/>
      <c r="N24" s="320"/>
      <c r="O24" s="319"/>
      <c r="P24" s="319"/>
      <c r="Q24" s="319"/>
      <c r="R24" s="320"/>
      <c r="S24" s="319"/>
      <c r="T24" s="319"/>
      <c r="U24" s="319"/>
      <c r="V24" s="261"/>
      <c r="W24" s="257"/>
      <c r="X24" s="319"/>
      <c r="Y24" s="959"/>
      <c r="Z24" s="262"/>
      <c r="AA24" s="257"/>
      <c r="AB24" s="319"/>
      <c r="AC24" s="319"/>
      <c r="AD24" s="261"/>
      <c r="AE24" s="257"/>
      <c r="AF24" s="319"/>
      <c r="AG24" s="959"/>
      <c r="AH24"/>
      <c r="AJ24" s="610"/>
      <c r="AK24" s="610"/>
      <c r="AL24" s="610"/>
      <c r="AM24" s="610"/>
    </row>
    <row r="25" spans="1:39" ht="14.4">
      <c r="G25" s="972"/>
      <c r="H25" s="147"/>
      <c r="I25" s="147"/>
      <c r="J25" s="147"/>
      <c r="K25" s="147"/>
      <c r="L25" s="147"/>
      <c r="M25" s="147"/>
      <c r="N25" s="303"/>
      <c r="O25" s="175"/>
      <c r="P25" s="175"/>
      <c r="Q25" s="175"/>
      <c r="R25" s="303"/>
      <c r="S25" s="175"/>
      <c r="T25" s="175"/>
      <c r="U25" s="175"/>
      <c r="V25" s="261"/>
      <c r="W25" s="257"/>
      <c r="X25" s="175"/>
      <c r="Y25" s="929"/>
      <c r="Z25" s="262"/>
      <c r="AA25" s="257"/>
      <c r="AB25" s="175"/>
      <c r="AC25" s="175"/>
      <c r="AD25" s="261"/>
      <c r="AE25" s="257"/>
      <c r="AF25" s="175"/>
      <c r="AG25" s="929"/>
      <c r="AH25"/>
      <c r="AJ25" s="610"/>
      <c r="AK25" s="610"/>
      <c r="AL25" s="610"/>
      <c r="AM25" s="610"/>
    </row>
    <row r="26" spans="1:39" s="610" customFormat="1" ht="14.4">
      <c r="A26" s="600"/>
      <c r="B26" s="600"/>
      <c r="C26" s="600"/>
      <c r="D26" s="600"/>
      <c r="E26" s="600"/>
      <c r="F26" s="600"/>
      <c r="G26" s="972"/>
      <c r="H26" s="1137" t="s">
        <v>246</v>
      </c>
      <c r="I26" s="1133"/>
      <c r="J26" s="1133"/>
      <c r="K26" s="1133"/>
      <c r="L26" s="1133"/>
      <c r="M26" s="1133"/>
      <c r="N26" s="602">
        <f t="shared" ref="N26:S27" si="24">+SUMIF($H$61:$H$301,$H26,N$61:N$301)*SUMIF($H$61:$H$301,$H26,$G$61:$G$301)</f>
        <v>10915.059832961353</v>
      </c>
      <c r="O26" s="601">
        <f t="shared" si="24"/>
        <v>11404.38605969287</v>
      </c>
      <c r="P26" s="601">
        <f t="shared" si="24"/>
        <v>12284.689526242128</v>
      </c>
      <c r="Q26" s="601">
        <f t="shared" si="24"/>
        <v>12803.466494334076</v>
      </c>
      <c r="R26" s="602">
        <f t="shared" si="24"/>
        <v>13286.962790167965</v>
      </c>
      <c r="S26" s="601">
        <f t="shared" si="24"/>
        <v>14493.052798090264</v>
      </c>
      <c r="T26" s="601"/>
      <c r="U26" s="601"/>
      <c r="V26" s="604"/>
      <c r="W26" s="605"/>
      <c r="X26" s="601">
        <f>+SUMIF($N$4:$U$4,$B$1,$N26:$U26)-SUMIF($N$4:$U$4,$A$1,$N26:$U26)</f>
        <v>3088.6667383973945</v>
      </c>
      <c r="Y26" s="902">
        <f>IF(OR(ABS(IF(X26&lt;0,-ABS(X26/SUMIF($N$4:$U$4,$A$1,$N26:$U26)),ABS(X26/SUMIF($N$4:$U$4,$A$1,$N26:$U26))))&lt;minvar,ABS(IF(X26&lt;0,-ABS(X26/SUMIF($N$4:$U$4,$A$1,$N26:$U26)),ABS(X26/SUMIF($N$4:$U$4,$A$1,$N26:$U26))))&gt;maxvar)=TRUE,"nm",IF(X26&lt;0,-ABS(X26/SUMIF($N$4:$U$4,$A$1,$N26:$U26)),ABS(X26/SUMIF($N$4:$U$4,$A$1,$N26:$U26))))</f>
        <v>0.2708314785408602</v>
      </c>
      <c r="Z26" s="708"/>
      <c r="AA26" s="605"/>
      <c r="AB26" s="601">
        <f t="shared" ref="AB26:AB29" si="25">+SUMIF($N$59:$Q$59,"Yes",$N26:$Q26)</f>
        <v>22319.445892654221</v>
      </c>
      <c r="AC26" s="601">
        <f t="shared" ref="AC26:AC29" si="26">+SUMIF($R$59:$U$59,"Yes",$R26:$U26)</f>
        <v>27780.015588258229</v>
      </c>
      <c r="AD26" s="604"/>
      <c r="AE26" s="605"/>
      <c r="AF26" s="601">
        <f t="shared" ref="AF26:AF29" si="27">+$AC26-$AB26</f>
        <v>5460.5696956040083</v>
      </c>
      <c r="AG26" s="926">
        <f>IF(OR(ABS(IF(AF26&lt;0,-ABS(AF26/$AB26),ABS(AF26/$AB26)))&lt;minvar,ABS(IF(AF26&lt;0,-ABS(AF26/$AB26),ABS(AF26/$AB26)))&gt;maxvar)=TRUE,"nm",IF(AF26&lt;0,-ABS(AF26/$AB26),ABS(AF26/$AB26)))</f>
        <v>0.24465525362353158</v>
      </c>
      <c r="AH26" s="609"/>
    </row>
    <row r="27" spans="1:39" s="636" customFormat="1" ht="14.4">
      <c r="A27" s="626"/>
      <c r="B27" s="626"/>
      <c r="C27" s="626"/>
      <c r="D27" s="626"/>
      <c r="E27" s="626"/>
      <c r="F27" s="626"/>
      <c r="G27" s="972"/>
      <c r="H27" s="1137" t="s">
        <v>247</v>
      </c>
      <c r="I27" s="1133"/>
      <c r="J27" s="1133"/>
      <c r="K27" s="1133"/>
      <c r="L27" s="1133"/>
      <c r="M27" s="1133"/>
      <c r="N27" s="630">
        <f t="shared" si="24"/>
        <v>12410.115379999999</v>
      </c>
      <c r="O27" s="629">
        <f t="shared" si="24"/>
        <v>11015.12257</v>
      </c>
      <c r="P27" s="629">
        <f t="shared" si="24"/>
        <v>10341.100109999999</v>
      </c>
      <c r="Q27" s="629">
        <f t="shared" si="24"/>
        <v>10543.13341</v>
      </c>
      <c r="R27" s="630">
        <f t="shared" si="24"/>
        <v>11120.62585</v>
      </c>
      <c r="S27" s="629">
        <f t="shared" si="24"/>
        <v>10553.2407</v>
      </c>
      <c r="T27" s="629"/>
      <c r="U27" s="629"/>
      <c r="V27" s="633"/>
      <c r="W27" s="634"/>
      <c r="X27" s="629">
        <f>+SUMIF($N$4:$U$4,$B$1,$N27:$U27)-SUMIF($N$4:$U$4,$A$1,$N27:$U27)</f>
        <v>-461.88186999999925</v>
      </c>
      <c r="Y27" s="902">
        <f>IF(OR(ABS(IF(X27&lt;0,-ABS(X27/SUMIF($N$4:$U$4,$A$1,$N27:$U27)),ABS(X27/SUMIF($N$4:$U$4,$A$1,$N27:$U27))))&lt;minvar,ABS(IF(X27&lt;0,-ABS(X27/SUMIF($N$4:$U$4,$A$1,$N27:$U27)),ABS(X27/SUMIF($N$4:$U$4,$A$1,$N27:$U27))))&gt;maxvar)=TRUE,"nm",IF(X27&lt;0,-ABS(X27/SUMIF($N$4:$U$4,$A$1,$N27:$U27)),ABS(X27/SUMIF($N$4:$U$4,$A$1,$N27:$U27))))</f>
        <v>-4.193161420263699E-2</v>
      </c>
      <c r="Z27" s="718"/>
      <c r="AA27" s="634"/>
      <c r="AB27" s="629">
        <f t="shared" si="25"/>
        <v>23425.237949999999</v>
      </c>
      <c r="AC27" s="629">
        <f t="shared" si="26"/>
        <v>21673.866549999999</v>
      </c>
      <c r="AD27" s="633"/>
      <c r="AE27" s="634"/>
      <c r="AF27" s="629">
        <f t="shared" si="27"/>
        <v>-1751.3714</v>
      </c>
      <c r="AG27" s="928">
        <f>IF(OR(ABS(IF(AF27&lt;0,-ABS(AF27/$AB27),ABS(AF27/$AB27)))&lt;minvar,ABS(IF(AF27&lt;0,-ABS(AF27/$AB27),ABS(AF27/$AB27)))&gt;maxvar)=TRUE,"nm",IF(AF27&lt;0,-ABS(AF27/$AB27),ABS(AF27/$AB27)))</f>
        <v>-7.476429497699083E-2</v>
      </c>
      <c r="AH27" s="635"/>
      <c r="AJ27" s="610"/>
      <c r="AK27" s="610"/>
      <c r="AL27" s="610"/>
      <c r="AM27" s="610"/>
    </row>
    <row r="28" spans="1:39" s="636" customFormat="1" ht="14.4">
      <c r="A28" s="626"/>
      <c r="B28" s="626"/>
      <c r="C28" s="626"/>
      <c r="D28" s="626"/>
      <c r="E28" s="626"/>
      <c r="F28" s="626"/>
      <c r="G28" s="972"/>
      <c r="H28" s="1133" t="s">
        <v>110</v>
      </c>
      <c r="I28" s="1133"/>
      <c r="J28" s="1133"/>
      <c r="K28" s="1133"/>
      <c r="L28" s="1133"/>
      <c r="M28" s="1133"/>
      <c r="N28" s="679">
        <f t="shared" ref="N28:Q28" si="28">+N20-SUM(N26:N27)</f>
        <v>28088.910525892214</v>
      </c>
      <c r="O28" s="632">
        <f t="shared" si="28"/>
        <v>30676.141638017027</v>
      </c>
      <c r="P28" s="632">
        <f t="shared" si="28"/>
        <v>26896.364726300624</v>
      </c>
      <c r="Q28" s="632">
        <f t="shared" si="28"/>
        <v>28724.13919724524</v>
      </c>
      <c r="R28" s="679">
        <f t="shared" ref="R28" si="29">+R20-SUM(R26:R27)</f>
        <v>30019.067205364285</v>
      </c>
      <c r="S28" s="632">
        <f t="shared" ref="S28" si="30">+S20-SUM(S26:S27)</f>
        <v>30009.6183579875</v>
      </c>
      <c r="T28" s="632"/>
      <c r="U28" s="632"/>
      <c r="V28" s="633"/>
      <c r="W28" s="634"/>
      <c r="X28" s="629">
        <f>+SUMIF($N$4:$U$4,$B$1,$N28:$U28)-SUMIF($N$4:$U$4,$A$1,$N28:$U28)</f>
        <v>-666.52328002952709</v>
      </c>
      <c r="Y28" s="902">
        <f>IF(OR(ABS(IF(X28&lt;0,-ABS(X28/SUMIF($N$4:$U$4,$A$1,$N28:$U28)),ABS(X28/SUMIF($N$4:$U$4,$A$1,$N28:$U28))))&lt;minvar,ABS(IF(X28&lt;0,-ABS(X28/SUMIF($N$4:$U$4,$A$1,$N28:$U28)),ABS(X28/SUMIF($N$4:$U$4,$A$1,$N28:$U28))))&gt;maxvar)=TRUE,"nm",IF(X28&lt;0,-ABS(X28/SUMIF($N$4:$U$4,$A$1,$N28:$U28)),ABS(X28/SUMIF($N$4:$U$4,$A$1,$N28:$U28))))</f>
        <v>-2.1727741640216673E-2</v>
      </c>
      <c r="Z28" s="718"/>
      <c r="AA28" s="634"/>
      <c r="AB28" s="629">
        <f t="shared" si="25"/>
        <v>58765.05216390924</v>
      </c>
      <c r="AC28" s="629">
        <f t="shared" si="26"/>
        <v>60028.685563351784</v>
      </c>
      <c r="AD28" s="633"/>
      <c r="AE28" s="634"/>
      <c r="AF28" s="629">
        <f t="shared" si="27"/>
        <v>1263.633399442544</v>
      </c>
      <c r="AG28" s="928">
        <f>IF(OR(ABS(IF(AF28&lt;0,-ABS(AF28/$AB28),ABS(AF28/$AB28)))&lt;minvar,ABS(IF(AF28&lt;0,-ABS(AF28/$AB28),ABS(AF28/$AB28)))&gt;maxvar)=TRUE,"nm",IF(AF28&lt;0,-ABS(AF28/$AB28),ABS(AF28/$AB28)))</f>
        <v>2.1503144350454757E-2</v>
      </c>
      <c r="AH28" s="635"/>
      <c r="AJ28" s="610"/>
      <c r="AK28" s="610"/>
      <c r="AL28" s="610"/>
      <c r="AM28" s="610"/>
    </row>
    <row r="29" spans="1:39" s="610" customFormat="1" ht="14.4">
      <c r="A29" s="600"/>
      <c r="B29" s="600"/>
      <c r="C29" s="600"/>
      <c r="D29" s="600"/>
      <c r="E29" s="600"/>
      <c r="F29" s="600"/>
      <c r="G29" s="972"/>
      <c r="H29" s="1170" t="s">
        <v>248</v>
      </c>
      <c r="I29" s="1170"/>
      <c r="J29" s="1170"/>
      <c r="K29" s="1170"/>
      <c r="L29" s="1170"/>
      <c r="M29" s="1170"/>
      <c r="N29" s="743">
        <f t="shared" ref="N29:Q29" si="31">+SUM(N26:N28)</f>
        <v>51414.085738853566</v>
      </c>
      <c r="O29" s="612">
        <f t="shared" si="31"/>
        <v>53095.650267709898</v>
      </c>
      <c r="P29" s="612">
        <f t="shared" si="31"/>
        <v>49522.154362542751</v>
      </c>
      <c r="Q29" s="612">
        <f t="shared" si="31"/>
        <v>52070.739101579318</v>
      </c>
      <c r="R29" s="743">
        <f t="shared" ref="R29" si="32">+SUM(R26:R28)</f>
        <v>54426.655845532252</v>
      </c>
      <c r="S29" s="612">
        <f t="shared" ref="S29" si="33">+SUM(S26:S28)</f>
        <v>55055.911856077764</v>
      </c>
      <c r="T29" s="612"/>
      <c r="U29" s="612"/>
      <c r="V29" s="603"/>
      <c r="W29" s="605"/>
      <c r="X29" s="612">
        <f>+SUMIF($N$4:$U$4,$B$1,$N29:$U29)-SUMIF($N$4:$U$4,$A$1,$N29:$U29)</f>
        <v>1960.2615883678664</v>
      </c>
      <c r="Y29" s="904">
        <f>IF(OR(ABS(IF(X29&lt;0,-ABS(X29/SUMIF($N$4:$U$4,$A$1,$N29:$U29)),ABS(X29/SUMIF($N$4:$U$4,$A$1,$N29:$U29))))&lt;minvar,ABS(IF(X29&lt;0,-ABS(X29/SUMIF($N$4:$U$4,$A$1,$N29:$U29)),ABS(X29/SUMIF($N$4:$U$4,$A$1,$N29:$U29))))&gt;maxvar)=TRUE,"nm",IF(X29&lt;0,-ABS(X29/SUMIF($N$4:$U$4,$A$1,$N29:$U29)),ABS(X29/SUMIF($N$4:$U$4,$A$1,$N29:$U29))))</f>
        <v>3.6919438381188802E-2</v>
      </c>
      <c r="Z29" s="708"/>
      <c r="AA29" s="601"/>
      <c r="AB29" s="612">
        <f t="shared" si="25"/>
        <v>104509.73600656347</v>
      </c>
      <c r="AC29" s="612">
        <f t="shared" si="26"/>
        <v>109482.56770161001</v>
      </c>
      <c r="AD29" s="603"/>
      <c r="AE29" s="605"/>
      <c r="AF29" s="612">
        <f t="shared" si="27"/>
        <v>4972.8316950465378</v>
      </c>
      <c r="AG29" s="904">
        <f>IF(OR(ABS(IF(AF29&lt;0,-ABS(AF29/$AB29),ABS(AF29/$AB29)))&lt;minvar,ABS(IF(AF29&lt;0,-ABS(AF29/$AB29),ABS(AF29/$AB29)))&gt;maxvar)=TRUE,"nm",IF(AF29&lt;0,-ABS(AF29/$AB29),ABS(AF29/$AB29)))</f>
        <v>4.7582473031356924E-2</v>
      </c>
      <c r="AH29" s="609"/>
    </row>
    <row r="30" spans="1:39" ht="14.4">
      <c r="G30" s="972"/>
      <c r="H30" s="147"/>
      <c r="I30" s="147"/>
      <c r="J30" s="147"/>
      <c r="K30" s="147"/>
      <c r="L30" s="147"/>
      <c r="M30" s="147"/>
      <c r="N30" s="303"/>
      <c r="O30" s="175"/>
      <c r="P30" s="175"/>
      <c r="Q30" s="175"/>
      <c r="R30" s="303"/>
      <c r="S30" s="175"/>
      <c r="T30" s="175"/>
      <c r="U30" s="175"/>
      <c r="V30" s="261"/>
      <c r="W30" s="257"/>
      <c r="X30" s="175"/>
      <c r="Y30" s="929"/>
      <c r="Z30" s="262"/>
      <c r="AA30" s="257"/>
      <c r="AB30" s="175"/>
      <c r="AC30" s="175"/>
      <c r="AD30" s="261"/>
      <c r="AE30" s="257"/>
      <c r="AF30" s="175"/>
      <c r="AG30" s="929"/>
      <c r="AH30"/>
      <c r="AJ30" s="610"/>
      <c r="AK30" s="610"/>
      <c r="AL30" s="610"/>
      <c r="AM30" s="610"/>
    </row>
    <row r="31" spans="1:39" ht="14.4">
      <c r="G31" s="972"/>
      <c r="H31" s="1137" t="s">
        <v>833</v>
      </c>
      <c r="I31" s="1133"/>
      <c r="J31" s="1133"/>
      <c r="K31" s="1133"/>
      <c r="L31" s="1133"/>
      <c r="M31" s="1133"/>
      <c r="N31" s="322"/>
      <c r="O31" s="321"/>
      <c r="P31" s="321"/>
      <c r="Q31" s="321"/>
      <c r="R31" s="322"/>
      <c r="S31" s="321"/>
      <c r="T31" s="321"/>
      <c r="U31" s="321"/>
      <c r="V31" s="261"/>
      <c r="W31" s="257"/>
      <c r="X31" s="175"/>
      <c r="Y31" s="902"/>
      <c r="Z31" s="262"/>
      <c r="AA31" s="257"/>
      <c r="AB31" s="321"/>
      <c r="AC31" s="321"/>
      <c r="AD31" s="261"/>
      <c r="AE31" s="257"/>
      <c r="AF31" s="175"/>
      <c r="AG31" s="902"/>
      <c r="AH31"/>
      <c r="AJ31" s="610"/>
      <c r="AK31" s="610"/>
      <c r="AL31" s="610"/>
      <c r="AM31" s="610"/>
    </row>
    <row r="32" spans="1:39" s="757" customFormat="1" ht="14.4">
      <c r="A32" s="755"/>
      <c r="B32" s="755"/>
      <c r="C32" s="755"/>
      <c r="D32" s="755"/>
      <c r="E32" s="755"/>
      <c r="F32" s="755"/>
      <c r="G32" s="972"/>
      <c r="H32" s="1169" t="s">
        <v>249</v>
      </c>
      <c r="I32" s="1169"/>
      <c r="J32" s="1169"/>
      <c r="K32" s="1169"/>
      <c r="L32" s="1169"/>
      <c r="M32" s="1169"/>
      <c r="N32" s="936">
        <f>+(-N67-N97)/('ISP 2'!N12-'ISP 2'!N9)/1000</f>
        <v>1.3685422254348951E-2</v>
      </c>
      <c r="O32" s="937">
        <f>+(-O67-O97)/('ISP 2'!O12-'ISP 2'!O9)/1000</f>
        <v>1.2883307865131019E-2</v>
      </c>
      <c r="P32" s="937">
        <f>+(-P67-P97)/('ISP 2'!P12-'ISP 2'!P9)/1000</f>
        <v>1.3762673873683221E-2</v>
      </c>
      <c r="Q32" s="937">
        <f>+(-Q67-Q97)/('ISP 2'!Q12-'ISP 2'!Q9)/1000</f>
        <v>1.4870107494955752E-2</v>
      </c>
      <c r="R32" s="936">
        <f>+(-R67-R97)/('ISP 2'!R12-'ISP 2'!R9)/1000</f>
        <v>1.3794675448230147E-2</v>
      </c>
      <c r="S32" s="937">
        <f>+(-S67-S97)/('ISP 2'!S12-'ISP 2'!S9)/1000</f>
        <v>1.3242846597144592E-2</v>
      </c>
      <c r="T32" s="937"/>
      <c r="U32" s="937"/>
      <c r="V32" s="938"/>
      <c r="W32" s="939"/>
      <c r="X32" s="940" t="s">
        <v>192</v>
      </c>
      <c r="Y32" s="902" t="s">
        <v>192</v>
      </c>
      <c r="Z32" s="941"/>
      <c r="AA32" s="939"/>
      <c r="AB32" s="942">
        <f>+(-AB67-AB97)/('ISP 2'!AB12-'ISP 2'!AB9)/1000</f>
        <v>1.3277242026057682E-2</v>
      </c>
      <c r="AC32" s="942">
        <f>+(-AC67-AC97)/('ISP 2'!AC12-'ISP 2'!AC9)/1000</f>
        <v>1.3517932716109533E-2</v>
      </c>
      <c r="AD32" s="938"/>
      <c r="AE32" s="939"/>
      <c r="AF32" s="940" t="s">
        <v>192</v>
      </c>
      <c r="AG32" s="902" t="s">
        <v>192</v>
      </c>
      <c r="AH32" s="756"/>
      <c r="AJ32" s="610"/>
      <c r="AK32" s="610"/>
      <c r="AL32" s="610"/>
      <c r="AM32" s="610"/>
    </row>
    <row r="33" spans="1:76" s="757" customFormat="1" ht="14.4">
      <c r="A33" s="755"/>
      <c r="B33" s="755"/>
      <c r="C33" s="755"/>
      <c r="D33" s="755"/>
      <c r="E33" s="755"/>
      <c r="F33" s="755"/>
      <c r="G33" s="972"/>
      <c r="H33" s="1169" t="s">
        <v>250</v>
      </c>
      <c r="I33" s="1169"/>
      <c r="J33" s="1169"/>
      <c r="K33" s="1169"/>
      <c r="L33" s="1169"/>
      <c r="M33" s="1169"/>
      <c r="N33" s="943">
        <f>+(-N68-N98)/'ISP 2'!N9/1000</f>
        <v>3.5214939120141679E-3</v>
      </c>
      <c r="O33" s="944">
        <f>+(-O68-O98)/'ISP 2'!O9/1000</f>
        <v>3.4874149097739839E-3</v>
      </c>
      <c r="P33" s="944">
        <f>+(-P68-P98)/'ISP 2'!P9/1000</f>
        <v>3.511655464530283E-3</v>
      </c>
      <c r="Q33" s="944">
        <f>+(-Q68-Q98)/'ISP 2'!Q9/1000</f>
        <v>2.7061871258766941E-3</v>
      </c>
      <c r="R33" s="943">
        <f>+(-R68-R98)/'ISP 2'!R9/1000</f>
        <v>3.7951047703244237E-3</v>
      </c>
      <c r="S33" s="944">
        <f>+(-S68-S98)/'ISP 2'!S9/1000</f>
        <v>3.9022107161493041E-3</v>
      </c>
      <c r="T33" s="944"/>
      <c r="U33" s="944"/>
      <c r="V33" s="938"/>
      <c r="W33" s="939"/>
      <c r="X33" s="945" t="s">
        <v>192</v>
      </c>
      <c r="Y33" s="935" t="s">
        <v>192</v>
      </c>
      <c r="Z33" s="941"/>
      <c r="AA33" s="939"/>
      <c r="AB33" s="946">
        <f>+(-AB68-AB98)/'ISP 2'!AB9/1000</f>
        <v>3.5067413386625479E-3</v>
      </c>
      <c r="AC33" s="946">
        <f>+(-AC68-AC98)/'ISP 2'!AC9/1000</f>
        <v>3.8442185644275528E-3</v>
      </c>
      <c r="AD33" s="938"/>
      <c r="AE33" s="939"/>
      <c r="AF33" s="945" t="s">
        <v>192</v>
      </c>
      <c r="AG33" s="935" t="s">
        <v>192</v>
      </c>
      <c r="AH33" s="756"/>
      <c r="AJ33" s="610"/>
      <c r="AK33" s="610"/>
      <c r="AL33" s="610"/>
      <c r="AM33" s="610"/>
    </row>
    <row r="34" spans="1:76" s="757" customFormat="1" ht="14.4">
      <c r="A34" s="755"/>
      <c r="B34" s="755"/>
      <c r="C34" s="755"/>
      <c r="D34" s="755"/>
      <c r="E34" s="755"/>
      <c r="F34" s="755"/>
      <c r="G34" s="972"/>
      <c r="H34" s="1170" t="s">
        <v>251</v>
      </c>
      <c r="I34" s="1170"/>
      <c r="J34" s="1170"/>
      <c r="K34" s="1170"/>
      <c r="L34" s="1170"/>
      <c r="M34" s="1170"/>
      <c r="N34" s="936">
        <f>+(N8-N18)/'ISP 2'!N12/1000</f>
        <v>1.283846628088104E-2</v>
      </c>
      <c r="O34" s="937">
        <f>+(O8-O18)/'ISP 2'!O12/1000</f>
        <v>1.2293568481634041E-2</v>
      </c>
      <c r="P34" s="937">
        <f>+(P8-P18)/'ISP 2'!P12/1000</f>
        <v>1.3067189421667487E-2</v>
      </c>
      <c r="Q34" s="937">
        <f>+(Q8-Q18)/'ISP 2'!Q12/1000</f>
        <v>1.4001576900083903E-2</v>
      </c>
      <c r="R34" s="936">
        <f>+(R8-R18)/'ISP 2'!R12/1000</f>
        <v>1.3049558954991712E-2</v>
      </c>
      <c r="S34" s="937">
        <f>+(S8-S18)/'ISP 2'!S12/1000</f>
        <v>1.2649928322875191E-2</v>
      </c>
      <c r="T34" s="937"/>
      <c r="U34" s="937"/>
      <c r="V34" s="938"/>
      <c r="W34" s="939"/>
      <c r="X34" s="940" t="s">
        <v>192</v>
      </c>
      <c r="Y34" s="902" t="s">
        <v>192</v>
      </c>
      <c r="Z34" s="941"/>
      <c r="AA34" s="939"/>
      <c r="AB34" s="942">
        <f>+(AB8-AB18)/'ISP 2'!AB12/1000</f>
        <v>1.2564200220794026E-2</v>
      </c>
      <c r="AC34" s="942">
        <f>+(AC8-AC18)/'ISP 2'!AC12/1000</f>
        <v>1.2850328254875224E-2</v>
      </c>
      <c r="AD34" s="938"/>
      <c r="AE34" s="939"/>
      <c r="AF34" s="940" t="s">
        <v>192</v>
      </c>
      <c r="AG34" s="902" t="s">
        <v>192</v>
      </c>
      <c r="AH34" s="756"/>
      <c r="AJ34" s="610"/>
      <c r="AK34" s="610"/>
      <c r="AL34" s="610"/>
      <c r="AM34" s="610"/>
    </row>
    <row r="35" spans="1:76" ht="14.4">
      <c r="G35" s="972"/>
      <c r="H35" s="147"/>
      <c r="I35" s="147"/>
      <c r="J35" s="147"/>
      <c r="K35" s="147"/>
      <c r="L35" s="147"/>
      <c r="M35" s="147"/>
      <c r="N35" s="958"/>
      <c r="O35" s="951"/>
      <c r="P35" s="951"/>
      <c r="Q35" s="951"/>
      <c r="R35" s="958"/>
      <c r="S35" s="951"/>
      <c r="T35" s="951"/>
      <c r="U35" s="951"/>
      <c r="V35" s="949"/>
      <c r="W35" s="950"/>
      <c r="X35" s="951"/>
      <c r="Y35" s="929"/>
      <c r="Z35" s="952"/>
      <c r="AA35" s="950"/>
      <c r="AB35" s="951"/>
      <c r="AC35" s="951"/>
      <c r="AD35" s="949"/>
      <c r="AE35" s="950"/>
      <c r="AF35" s="951"/>
      <c r="AG35" s="929"/>
      <c r="AH35"/>
      <c r="AJ35" s="610"/>
      <c r="AK35" s="610"/>
      <c r="AL35" s="610"/>
      <c r="AM35" s="610"/>
    </row>
    <row r="36" spans="1:76" ht="14.4">
      <c r="G36" s="972"/>
      <c r="H36" s="1137" t="s">
        <v>834</v>
      </c>
      <c r="I36" s="1133"/>
      <c r="J36" s="1133"/>
      <c r="K36" s="1133"/>
      <c r="L36" s="1133"/>
      <c r="M36" s="1133"/>
      <c r="N36" s="947"/>
      <c r="O36" s="948"/>
      <c r="P36" s="948"/>
      <c r="Q36" s="948"/>
      <c r="R36" s="947"/>
      <c r="S36" s="948"/>
      <c r="T36" s="948"/>
      <c r="U36" s="948"/>
      <c r="V36" s="949"/>
      <c r="W36" s="950"/>
      <c r="X36" s="951"/>
      <c r="Y36" s="902"/>
      <c r="Z36" s="952"/>
      <c r="AA36" s="950"/>
      <c r="AB36" s="953"/>
      <c r="AC36" s="953"/>
      <c r="AD36" s="949"/>
      <c r="AE36" s="950"/>
      <c r="AF36" s="951"/>
      <c r="AG36" s="902"/>
      <c r="AH36"/>
      <c r="AJ36" s="610"/>
      <c r="AK36" s="610"/>
      <c r="AL36" s="610"/>
      <c r="AM36" s="610"/>
    </row>
    <row r="37" spans="1:76" s="760" customFormat="1" ht="14.4">
      <c r="A37" s="758"/>
      <c r="B37" s="758"/>
      <c r="C37" s="758"/>
      <c r="D37" s="758"/>
      <c r="E37" s="758"/>
      <c r="F37" s="758"/>
      <c r="G37" s="972"/>
      <c r="H37" s="1169" t="s">
        <v>249</v>
      </c>
      <c r="I37" s="1169"/>
      <c r="J37" s="1169"/>
      <c r="K37" s="1169"/>
      <c r="L37" s="1169"/>
      <c r="M37" s="1169"/>
      <c r="N37" s="947">
        <f>+(-N71-N101-N118)/'ISP 2'!N45/1000</f>
        <v>4.2969517884274759E-4</v>
      </c>
      <c r="O37" s="948">
        <f>+(-O71-O101-O118)/'ISP 2'!O45/1000</f>
        <v>4.3093149355188465E-4</v>
      </c>
      <c r="P37" s="948">
        <f>+(-P71-P101-P118)/'ISP 2'!P45/1000</f>
        <v>4.4328131247282242E-4</v>
      </c>
      <c r="Q37" s="948">
        <f>+(-Q71-Q101-Q118)/'ISP 2'!Q45/1000</f>
        <v>4.5158324869851233E-4</v>
      </c>
      <c r="R37" s="947">
        <f>+(-R71-R101-R118)/'ISP 2'!R45/1000</f>
        <v>4.6481045803670689E-4</v>
      </c>
      <c r="S37" s="948">
        <f>+(-S71-S101-S118)/'ISP 2'!S45/1000</f>
        <v>4.6672703695008346E-4</v>
      </c>
      <c r="T37" s="948"/>
      <c r="U37" s="948"/>
      <c r="V37" s="949"/>
      <c r="W37" s="950"/>
      <c r="X37" s="951" t="s">
        <v>192</v>
      </c>
      <c r="Y37" s="902" t="s">
        <v>192</v>
      </c>
      <c r="Z37" s="952"/>
      <c r="AA37" s="950"/>
      <c r="AB37" s="953">
        <f>+(-AB71-AB101-AB118)/'ISP 2'!AB45/1000</f>
        <v>8.6062875436149189E-4</v>
      </c>
      <c r="AC37" s="953">
        <f>+(-AC71-AC101-AC118)/'ISP 2'!AC45/1000</f>
        <v>9.3157871789439363E-4</v>
      </c>
      <c r="AD37" s="949"/>
      <c r="AE37" s="950"/>
      <c r="AF37" s="951" t="s">
        <v>192</v>
      </c>
      <c r="AG37" s="902" t="s">
        <v>192</v>
      </c>
      <c r="AH37" s="759"/>
      <c r="AJ37" s="610"/>
      <c r="AK37" s="610"/>
      <c r="AL37" s="610"/>
      <c r="AM37" s="610"/>
    </row>
    <row r="38" spans="1:76" s="760" customFormat="1" ht="14.4">
      <c r="A38" s="758"/>
      <c r="B38" s="758"/>
      <c r="C38" s="758"/>
      <c r="D38" s="758"/>
      <c r="E38" s="758"/>
      <c r="F38" s="758"/>
      <c r="G38" s="972"/>
      <c r="H38" s="1169" t="s">
        <v>250</v>
      </c>
      <c r="I38" s="1169"/>
      <c r="J38" s="1169"/>
      <c r="K38" s="1169"/>
      <c r="L38" s="1169"/>
      <c r="M38" s="1169"/>
      <c r="N38" s="954">
        <f>+(-N72-N102-N121-N15-N16)/'ISP 2'!N44/1000</f>
        <v>1.1270254341976718E-3</v>
      </c>
      <c r="O38" s="955">
        <f>+(-O72-O102-O121-O15-O16)/'ISP 2'!O44/1000</f>
        <v>1.0852239744890968E-3</v>
      </c>
      <c r="P38" s="955">
        <f>+(-P72-P102-P121-P15-P16)/'ISP 2'!P44/1000</f>
        <v>1.1496221305398692E-3</v>
      </c>
      <c r="Q38" s="955">
        <f>+(-Q72-Q102-Q121-Q15-Q16)/'ISP 2'!Q44/1000</f>
        <v>1.0983139458074168E-3</v>
      </c>
      <c r="R38" s="954">
        <f>+(-R72-R102-R121-R15-R16)/'ISP 2'!R44/1000</f>
        <v>1.1403940028951393E-3</v>
      </c>
      <c r="S38" s="955">
        <f>+(-S72-S102-S121-S15-S16)/'ISP 2'!S44/1000</f>
        <v>1.1554903499883583E-3</v>
      </c>
      <c r="T38" s="955"/>
      <c r="U38" s="955"/>
      <c r="V38" s="949"/>
      <c r="W38" s="950"/>
      <c r="X38" s="956" t="s">
        <v>192</v>
      </c>
      <c r="Y38" s="935" t="s">
        <v>192</v>
      </c>
      <c r="Z38" s="952"/>
      <c r="AA38" s="950"/>
      <c r="AB38" s="957">
        <f>+(-AB72-AB102-AB121-AB15-AB16)/'ISP 2'!AB44/1000</f>
        <v>2.2114739139221747E-3</v>
      </c>
      <c r="AC38" s="957">
        <f>+(-AC72-AC102-AC121-AC15-AC16)/'ISP 2'!AC44/1000</f>
        <v>2.2961963974988016E-3</v>
      </c>
      <c r="AD38" s="949"/>
      <c r="AE38" s="950"/>
      <c r="AF38" s="956" t="s">
        <v>192</v>
      </c>
      <c r="AG38" s="935" t="s">
        <v>192</v>
      </c>
      <c r="AH38" s="759"/>
      <c r="AJ38" s="610"/>
      <c r="AK38" s="610"/>
      <c r="AL38" s="610"/>
      <c r="AM38" s="610"/>
    </row>
    <row r="39" spans="1:76" s="760" customFormat="1" ht="14.4">
      <c r="A39" s="758"/>
      <c r="B39" s="758"/>
      <c r="C39" s="758"/>
      <c r="D39" s="758"/>
      <c r="E39" s="758"/>
      <c r="F39" s="758"/>
      <c r="G39" s="972"/>
      <c r="H39" s="1170" t="s">
        <v>251</v>
      </c>
      <c r="I39" s="1170"/>
      <c r="J39" s="1170"/>
      <c r="K39" s="1170"/>
      <c r="L39" s="1170"/>
      <c r="M39" s="1170"/>
      <c r="N39" s="947">
        <f>+(N9-N19-N15-N16-N118-N121)/'ISP 2'!N40/1000</f>
        <v>5.3300237189107824E-4</v>
      </c>
      <c r="O39" s="948">
        <f>+(O9-O19-O15-O16-O118-O121)/'ISP 2'!O40/1000</f>
        <v>5.3068193081375731E-4</v>
      </c>
      <c r="P39" s="948">
        <f>+(P9-P19-P15-P16-P118-P121)/'ISP 2'!P40/1000</f>
        <v>5.509045995697689E-4</v>
      </c>
      <c r="Q39" s="948">
        <f>+(Q9-Q19-Q15-Q16-Q118-Q121)/'ISP 2'!Q40/1000</f>
        <v>5.5010551517323096E-4</v>
      </c>
      <c r="R39" s="947">
        <f>+(R9-R19-R15-R16-R118-R121)/'ISP 2'!R40/1000</f>
        <v>5.6922766025048921E-4</v>
      </c>
      <c r="S39" s="948">
        <f>+(S9-S19-S15-S16-S118-S121)/'ISP 2'!S40/1000</f>
        <v>5.7303039496681661E-4</v>
      </c>
      <c r="T39" s="948"/>
      <c r="U39" s="948"/>
      <c r="V39" s="949"/>
      <c r="W39" s="950"/>
      <c r="X39" s="951" t="s">
        <v>192</v>
      </c>
      <c r="Y39" s="902" t="s">
        <v>192</v>
      </c>
      <c r="Z39" s="952"/>
      <c r="AA39" s="950"/>
      <c r="AB39" s="953">
        <f>+(AB9-AB19-AB15-AB16-AB118-AB121)/'ISP 2'!AB40/1000</f>
        <v>1.0636745117906636E-3</v>
      </c>
      <c r="AC39" s="953">
        <f>+(AC9-AC19-AC15-AC16-AC118-AC121)/'ISP 2'!AC40/1000</f>
        <v>1.1423393542761174E-3</v>
      </c>
      <c r="AD39" s="949"/>
      <c r="AE39" s="950"/>
      <c r="AF39" s="951" t="s">
        <v>192</v>
      </c>
      <c r="AG39" s="902" t="s">
        <v>192</v>
      </c>
      <c r="AH39" s="759"/>
      <c r="AJ39" s="610"/>
      <c r="AK39" s="610"/>
      <c r="AL39" s="610"/>
      <c r="AM39" s="610"/>
    </row>
    <row r="40" spans="1:76" ht="14.4">
      <c r="G40" s="972"/>
      <c r="H40" s="147"/>
      <c r="I40" s="147"/>
      <c r="J40" s="147"/>
      <c r="K40" s="147"/>
      <c r="L40" s="147"/>
      <c r="M40" s="147"/>
      <c r="N40" s="303"/>
      <c r="O40" s="175"/>
      <c r="P40" s="175"/>
      <c r="Q40" s="175"/>
      <c r="R40" s="303"/>
      <c r="S40" s="175"/>
      <c r="T40" s="175"/>
      <c r="U40" s="175"/>
      <c r="V40" s="261"/>
      <c r="W40" s="257"/>
      <c r="X40" s="175"/>
      <c r="Y40" s="929"/>
      <c r="Z40" s="262"/>
      <c r="AA40" s="257"/>
      <c r="AB40" s="175"/>
      <c r="AC40" s="175"/>
      <c r="AD40" s="261"/>
      <c r="AE40" s="257"/>
      <c r="AF40" s="175"/>
      <c r="AG40" s="929"/>
      <c r="AH40"/>
      <c r="AJ40" s="610"/>
      <c r="AK40" s="610"/>
      <c r="AL40" s="610"/>
      <c r="AM40" s="610"/>
    </row>
    <row r="41" spans="1:76" s="754" customFormat="1" ht="14.4">
      <c r="A41" s="747"/>
      <c r="B41" s="747"/>
      <c r="C41" s="747"/>
      <c r="D41" s="747"/>
      <c r="E41" s="747"/>
      <c r="F41" s="747"/>
      <c r="G41" s="972"/>
      <c r="H41" s="1137" t="s">
        <v>835</v>
      </c>
      <c r="I41" s="1133"/>
      <c r="J41" s="1133"/>
      <c r="K41" s="1133"/>
      <c r="L41" s="1133"/>
      <c r="M41" s="1133"/>
      <c r="N41" s="749">
        <f>+(N10-N27)/'ISP 2'!N51</f>
        <v>3.5666636552055611</v>
      </c>
      <c r="O41" s="748">
        <f>+(O10-O27)/'ISP 2'!O51</f>
        <v>4.0180897973354899</v>
      </c>
      <c r="P41" s="748">
        <f>+(P10-P27)/'ISP 2'!P51</f>
        <v>4.2023908531168965</v>
      </c>
      <c r="Q41" s="748">
        <f>+(Q10-Q27)/'ISP 2'!Q51</f>
        <v>4.0940906846294771</v>
      </c>
      <c r="R41" s="749">
        <f>+(R10-R27)/'ISP 2'!R51</f>
        <v>3.68598437119359</v>
      </c>
      <c r="S41" s="748">
        <f>+(S10-S27)/'ISP 2'!S51</f>
        <v>3.965057132601653</v>
      </c>
      <c r="T41" s="748"/>
      <c r="U41" s="748"/>
      <c r="V41" s="750"/>
      <c r="W41" s="751"/>
      <c r="X41" s="748" t="s">
        <v>192</v>
      </c>
      <c r="Y41" s="902" t="s">
        <v>192</v>
      </c>
      <c r="Z41" s="752"/>
      <c r="AA41" s="751"/>
      <c r="AB41" s="748">
        <f>+(AB10-AB27)/'ISP 2'!AB51</f>
        <v>7.5864886322420499</v>
      </c>
      <c r="AC41" s="748">
        <f>+(AC10-AC27)/'ISP 2'!AC51</f>
        <v>7.6522911360331296</v>
      </c>
      <c r="AD41" s="750"/>
      <c r="AE41" s="751"/>
      <c r="AF41" s="748" t="s">
        <v>192</v>
      </c>
      <c r="AG41" s="902" t="s">
        <v>192</v>
      </c>
      <c r="AH41" s="753"/>
      <c r="AJ41" s="610"/>
      <c r="AK41" s="610"/>
      <c r="AL41" s="610"/>
      <c r="AM41" s="610"/>
    </row>
    <row r="42" spans="1:76" ht="14.4">
      <c r="AH42"/>
    </row>
    <row r="43" spans="1:76" ht="14.4">
      <c r="AH43"/>
    </row>
    <row r="44" spans="1:76" ht="14.4">
      <c r="G44" s="972"/>
      <c r="H44" s="147"/>
      <c r="I44" s="147"/>
      <c r="J44" s="147"/>
      <c r="K44" s="147"/>
      <c r="L44" s="147"/>
      <c r="M44" s="147"/>
      <c r="N44" s="147"/>
      <c r="O44" s="147"/>
      <c r="P44" s="147"/>
      <c r="Q44" s="147"/>
      <c r="R44" s="147"/>
      <c r="V44" s="147"/>
      <c r="W44" s="147"/>
      <c r="X44" s="147"/>
      <c r="Y44" s="639"/>
      <c r="Z44" s="147"/>
      <c r="AA44" s="147"/>
      <c r="AB44" s="147"/>
      <c r="AC44" s="153"/>
      <c r="AD44" s="153"/>
      <c r="AE44" s="153"/>
      <c r="AF44" s="153"/>
      <c r="AG44" s="637"/>
      <c r="AH44"/>
    </row>
    <row r="45" spans="1:76" ht="14.4">
      <c r="G45" s="977"/>
      <c r="H45" s="978"/>
      <c r="I45" s="324"/>
      <c r="J45" s="324"/>
      <c r="K45" s="979"/>
      <c r="L45" s="978"/>
      <c r="M45" s="324"/>
      <c r="N45" s="324"/>
      <c r="O45" s="324"/>
      <c r="P45" s="324"/>
      <c r="Q45" s="324"/>
      <c r="R45" s="324"/>
      <c r="S45" s="426"/>
      <c r="T45" s="426"/>
      <c r="U45" s="426"/>
      <c r="V45" s="324"/>
      <c r="W45" s="324"/>
      <c r="X45" s="324"/>
      <c r="Y45" s="643"/>
      <c r="Z45" s="324"/>
      <c r="AA45" s="324"/>
      <c r="AB45" s="324"/>
      <c r="AC45" s="229"/>
      <c r="AD45" s="229"/>
      <c r="AE45" s="229"/>
      <c r="AF45" s="229"/>
      <c r="AG45" s="638"/>
      <c r="AH45"/>
    </row>
    <row r="46" spans="1:76" ht="15" customHeight="1">
      <c r="G46" s="970" t="s">
        <v>42</v>
      </c>
      <c r="H46" s="1147" t="s">
        <v>758</v>
      </c>
      <c r="I46" s="1147"/>
      <c r="J46" s="1147"/>
      <c r="K46" s="1147"/>
      <c r="L46" s="1147"/>
      <c r="M46" s="1147"/>
      <c r="N46" s="1147"/>
      <c r="O46" s="1147"/>
      <c r="P46" s="1147"/>
      <c r="Q46" s="1147"/>
      <c r="R46" s="1147"/>
      <c r="S46" s="1147"/>
      <c r="T46" s="1147"/>
      <c r="U46" s="1147"/>
      <c r="V46" s="1147"/>
      <c r="W46" s="1147"/>
      <c r="X46" s="1147"/>
      <c r="Y46" s="1147"/>
      <c r="Z46" s="1147"/>
      <c r="AA46" s="1147"/>
      <c r="AB46" s="1147"/>
      <c r="AC46" s="1147"/>
      <c r="AD46" s="1147"/>
      <c r="AE46" s="1147"/>
      <c r="AF46" s="1147"/>
      <c r="AG46" s="1147"/>
      <c r="AH46" s="272"/>
      <c r="AI46" s="272"/>
      <c r="AJ46" s="272"/>
      <c r="AK46" s="272"/>
      <c r="AL46" s="272"/>
      <c r="AM46" s="272"/>
      <c r="AN46" s="272"/>
      <c r="AO46" s="272"/>
      <c r="AP46" s="272"/>
      <c r="AQ46" s="272"/>
      <c r="AR46" s="272"/>
      <c r="AS46" s="272"/>
      <c r="AT46" s="272"/>
      <c r="AU46" s="272"/>
      <c r="AV46" s="272"/>
      <c r="AW46" s="272"/>
      <c r="AX46" s="272"/>
      <c r="AY46" s="272"/>
      <c r="AZ46" s="272"/>
      <c r="BA46" s="272"/>
      <c r="BB46" s="272"/>
      <c r="BC46" s="272"/>
      <c r="BD46" s="272"/>
      <c r="BE46" s="272"/>
      <c r="BF46" s="272"/>
      <c r="BG46" s="272"/>
      <c r="BH46" s="272"/>
      <c r="BI46" s="272"/>
      <c r="BJ46" s="272"/>
      <c r="BK46" s="272"/>
      <c r="BL46" s="272"/>
      <c r="BM46" s="272"/>
      <c r="BN46" s="272"/>
      <c r="BO46" s="272"/>
      <c r="BP46" s="272"/>
      <c r="BQ46" s="272"/>
      <c r="BR46" s="272"/>
      <c r="BS46" s="272"/>
      <c r="BT46" s="272"/>
      <c r="BU46" s="272"/>
      <c r="BV46" s="272"/>
      <c r="BW46" s="272"/>
      <c r="BX46" s="272"/>
    </row>
    <row r="47" spans="1:76" ht="15" customHeight="1">
      <c r="G47" s="970" t="s">
        <v>44</v>
      </c>
      <c r="H47" s="1147" t="s">
        <v>759</v>
      </c>
      <c r="I47" s="1147"/>
      <c r="J47" s="1147"/>
      <c r="K47" s="1147"/>
      <c r="L47" s="1147"/>
      <c r="M47" s="1147"/>
      <c r="N47" s="1147"/>
      <c r="O47" s="1147"/>
      <c r="P47" s="1147"/>
      <c r="Q47" s="1147"/>
      <c r="R47" s="1147"/>
      <c r="S47" s="1147"/>
      <c r="T47" s="1147"/>
      <c r="U47" s="1147"/>
      <c r="V47" s="1147"/>
      <c r="W47" s="1147"/>
      <c r="X47" s="1147"/>
      <c r="Y47" s="1147"/>
      <c r="Z47" s="1147"/>
      <c r="AA47" s="1147"/>
      <c r="AB47" s="1147"/>
      <c r="AC47" s="1147"/>
      <c r="AD47" s="1147"/>
      <c r="AE47" s="1147"/>
      <c r="AF47" s="1147"/>
      <c r="AG47" s="1147"/>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272"/>
      <c r="BR47" s="272"/>
      <c r="BS47" s="272"/>
      <c r="BT47" s="272"/>
      <c r="BU47" s="272"/>
      <c r="BV47" s="272"/>
      <c r="BW47" s="272"/>
      <c r="BX47" s="272"/>
    </row>
    <row r="48" spans="1:76" ht="15" customHeight="1">
      <c r="G48" s="970" t="s">
        <v>211</v>
      </c>
      <c r="H48" s="1147" t="s">
        <v>836</v>
      </c>
      <c r="I48" s="1147"/>
      <c r="J48" s="1147"/>
      <c r="K48" s="1147"/>
      <c r="L48" s="1147"/>
      <c r="M48" s="1147"/>
      <c r="N48" s="1147"/>
      <c r="O48" s="1147"/>
      <c r="P48" s="1147"/>
      <c r="Q48" s="1147"/>
      <c r="R48" s="1147"/>
      <c r="S48" s="1147"/>
      <c r="T48" s="1147"/>
      <c r="U48" s="1147"/>
      <c r="V48" s="1147"/>
      <c r="W48" s="1147"/>
      <c r="X48" s="1147"/>
      <c r="Y48" s="1147"/>
      <c r="Z48" s="1147"/>
      <c r="AA48" s="1147"/>
      <c r="AB48" s="1147"/>
      <c r="AC48" s="1147"/>
      <c r="AD48" s="1147"/>
      <c r="AE48" s="1147"/>
      <c r="AF48" s="1147"/>
      <c r="AG48" s="1147"/>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272"/>
      <c r="BK48" s="272"/>
      <c r="BL48" s="272"/>
      <c r="BM48" s="272"/>
      <c r="BN48" s="272"/>
      <c r="BO48" s="272"/>
      <c r="BP48" s="272"/>
      <c r="BQ48" s="272"/>
      <c r="BR48" s="272"/>
      <c r="BS48" s="272"/>
      <c r="BT48" s="272"/>
      <c r="BU48" s="272"/>
      <c r="BV48" s="272"/>
      <c r="BW48" s="272"/>
      <c r="BX48" s="272"/>
    </row>
    <row r="49" spans="1:76" ht="30" customHeight="1">
      <c r="G49" s="970" t="s">
        <v>212</v>
      </c>
      <c r="H49" s="1147" t="s">
        <v>837</v>
      </c>
      <c r="I49" s="1147"/>
      <c r="J49" s="1147"/>
      <c r="K49" s="1147"/>
      <c r="L49" s="1147"/>
      <c r="M49" s="1147"/>
      <c r="N49" s="1147"/>
      <c r="O49" s="1147"/>
      <c r="P49" s="1147"/>
      <c r="Q49" s="1147"/>
      <c r="R49" s="1147"/>
      <c r="S49" s="1147"/>
      <c r="T49" s="1147"/>
      <c r="U49" s="1147"/>
      <c r="V49" s="1147"/>
      <c r="W49" s="1147"/>
      <c r="X49" s="1147"/>
      <c r="Y49" s="1147"/>
      <c r="Z49" s="1147"/>
      <c r="AA49" s="1147"/>
      <c r="AB49" s="1147"/>
      <c r="AC49" s="1147"/>
      <c r="AD49" s="1147"/>
      <c r="AE49" s="1147"/>
      <c r="AF49" s="1147"/>
      <c r="AG49" s="1147"/>
      <c r="AH49" s="272"/>
      <c r="AI49" s="272"/>
      <c r="AJ49" s="272"/>
      <c r="AK49" s="272"/>
      <c r="AL49" s="272"/>
      <c r="AM49" s="272"/>
      <c r="AN49" s="272"/>
      <c r="AO49" s="272"/>
      <c r="AP49" s="272"/>
      <c r="AQ49" s="272"/>
      <c r="AR49" s="272"/>
      <c r="AS49" s="272"/>
      <c r="AT49" s="272"/>
      <c r="AU49" s="272"/>
      <c r="AV49" s="272"/>
      <c r="AW49" s="272"/>
      <c r="AX49" s="272"/>
      <c r="AY49" s="272"/>
      <c r="AZ49" s="272"/>
      <c r="BA49" s="272"/>
      <c r="BB49" s="272"/>
      <c r="BC49" s="272"/>
      <c r="BD49" s="272"/>
      <c r="BE49" s="272"/>
      <c r="BF49" s="272"/>
      <c r="BG49" s="272"/>
      <c r="BH49" s="272"/>
      <c r="BI49" s="272"/>
      <c r="BJ49" s="272"/>
      <c r="BK49" s="272"/>
      <c r="BL49" s="272"/>
      <c r="BM49" s="272"/>
      <c r="BN49" s="272"/>
      <c r="BO49" s="272"/>
      <c r="BP49" s="272"/>
      <c r="BQ49" s="272"/>
      <c r="BR49" s="272"/>
      <c r="BS49" s="272"/>
      <c r="BT49" s="272"/>
      <c r="BU49" s="272"/>
      <c r="BV49" s="272"/>
      <c r="BW49" s="272"/>
      <c r="BX49" s="272"/>
    </row>
    <row r="50" spans="1:76" ht="15" customHeight="1">
      <c r="G50" s="970" t="s">
        <v>213</v>
      </c>
      <c r="H50" s="1147" t="s">
        <v>838</v>
      </c>
      <c r="I50" s="1147"/>
      <c r="J50" s="1147"/>
      <c r="K50" s="1147"/>
      <c r="L50" s="1147"/>
      <c r="M50" s="1147"/>
      <c r="N50" s="1147"/>
      <c r="O50" s="1147"/>
      <c r="P50" s="1147"/>
      <c r="Q50" s="1147"/>
      <c r="R50" s="1147"/>
      <c r="S50" s="1147"/>
      <c r="T50" s="1147"/>
      <c r="U50" s="1147"/>
      <c r="V50" s="1147"/>
      <c r="W50" s="1147"/>
      <c r="X50" s="1147"/>
      <c r="Y50" s="1147"/>
      <c r="Z50" s="1147"/>
      <c r="AA50" s="1147"/>
      <c r="AB50" s="1147"/>
      <c r="AC50" s="1147"/>
      <c r="AD50" s="1147"/>
      <c r="AE50" s="1147"/>
      <c r="AF50" s="1147"/>
      <c r="AG50" s="1147"/>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272"/>
      <c r="BJ50" s="272"/>
      <c r="BK50" s="272"/>
      <c r="BL50" s="272"/>
      <c r="BM50" s="272"/>
      <c r="BN50" s="272"/>
      <c r="BO50" s="272"/>
      <c r="BP50" s="272"/>
      <c r="BQ50" s="272"/>
      <c r="BR50" s="272"/>
      <c r="BS50" s="272"/>
      <c r="BT50" s="272"/>
      <c r="BU50" s="272"/>
      <c r="BV50" s="272"/>
      <c r="BW50" s="272"/>
      <c r="BX50" s="272"/>
    </row>
    <row r="51" spans="1:76" ht="15" customHeight="1">
      <c r="G51" s="970" t="s">
        <v>214</v>
      </c>
      <c r="H51" s="1168" t="s">
        <v>253</v>
      </c>
      <c r="I51" s="1168"/>
      <c r="J51" s="1168"/>
      <c r="K51" s="1168"/>
      <c r="L51" s="1168"/>
      <c r="M51" s="1168"/>
      <c r="N51" s="1168"/>
      <c r="O51" s="1168"/>
      <c r="P51" s="1168"/>
      <c r="Q51" s="1168"/>
      <c r="R51" s="1168"/>
      <c r="S51" s="1168"/>
      <c r="T51" s="1168"/>
      <c r="U51" s="1168"/>
      <c r="V51" s="1168"/>
      <c r="W51" s="1168"/>
      <c r="X51" s="1168"/>
      <c r="Y51" s="1168"/>
      <c r="Z51" s="1168"/>
      <c r="AA51" s="1168"/>
      <c r="AB51" s="1168"/>
      <c r="AC51" s="1168"/>
      <c r="AD51" s="1168"/>
      <c r="AE51" s="1168"/>
      <c r="AF51" s="1168"/>
      <c r="AG51" s="1168"/>
      <c r="AH51" s="272"/>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09"/>
      <c r="BT51" s="309"/>
      <c r="BU51" s="309"/>
      <c r="BV51" s="309"/>
      <c r="BW51" s="309"/>
      <c r="BX51" s="309"/>
    </row>
    <row r="59" spans="1:76">
      <c r="N59" s="252" t="str">
        <f t="shared" ref="N59:T59" si="34">+IF(RIGHT(LEFT(N$4,2),1)&lt;=RIGHT(LEFT($B$1,2),1),"Yes","")</f>
        <v>Yes</v>
      </c>
      <c r="O59" s="252" t="str">
        <f t="shared" si="34"/>
        <v>Yes</v>
      </c>
      <c r="P59" s="252" t="str">
        <f t="shared" si="34"/>
        <v/>
      </c>
      <c r="Q59" s="252" t="str">
        <f t="shared" si="34"/>
        <v/>
      </c>
      <c r="R59" s="273" t="str">
        <f t="shared" si="34"/>
        <v>Yes</v>
      </c>
      <c r="S59" s="346" t="str">
        <f t="shared" si="34"/>
        <v>Yes</v>
      </c>
      <c r="T59" s="346" t="str">
        <f t="shared" si="34"/>
        <v/>
      </c>
      <c r="U59" s="346" t="str">
        <f>+IF(RIGHT(LEFT(U$4,2),1)&lt;=RIGHT(LEFT($B$1,2),1),"Yes","")</f>
        <v/>
      </c>
    </row>
    <row r="60" spans="1:76" s="252" customFormat="1">
      <c r="A60" s="274"/>
      <c r="B60" s="274"/>
      <c r="C60" s="274"/>
      <c r="D60" s="274"/>
      <c r="E60" s="274"/>
      <c r="F60" s="274"/>
      <c r="G60" s="971"/>
      <c r="N60" s="276" t="s">
        <v>886</v>
      </c>
      <c r="O60" s="275" t="s">
        <v>887</v>
      </c>
      <c r="P60" s="275" t="s">
        <v>888</v>
      </c>
      <c r="Q60" s="275" t="s">
        <v>889</v>
      </c>
      <c r="R60" s="276" t="s">
        <v>903</v>
      </c>
      <c r="S60" s="427" t="s">
        <v>904</v>
      </c>
      <c r="T60" s="427" t="s">
        <v>905</v>
      </c>
      <c r="U60" s="427" t="s">
        <v>906</v>
      </c>
      <c r="Y60" s="641"/>
      <c r="AG60" s="641"/>
    </row>
    <row r="61" spans="1:76">
      <c r="G61" s="253"/>
      <c r="N61" s="278" t="str">
        <f t="shared" ref="N61:U61" si="35">+IF(ROUND((N64+N85+N151),0)&lt;&gt;0,"ERROR","")</f>
        <v/>
      </c>
      <c r="O61" s="277" t="str">
        <f t="shared" si="35"/>
        <v/>
      </c>
      <c r="P61" s="277" t="str">
        <f t="shared" si="35"/>
        <v/>
      </c>
      <c r="Q61" s="277" t="str">
        <f t="shared" si="35"/>
        <v/>
      </c>
      <c r="R61" s="278" t="str">
        <f t="shared" si="35"/>
        <v/>
      </c>
      <c r="S61" s="419" t="str">
        <f t="shared" si="35"/>
        <v/>
      </c>
      <c r="T61" s="419" t="str">
        <f t="shared" si="35"/>
        <v>ERROR</v>
      </c>
      <c r="U61" s="419" t="str">
        <f t="shared" si="35"/>
        <v/>
      </c>
    </row>
    <row r="62" spans="1:76">
      <c r="A62" s="279"/>
      <c r="B62" s="280"/>
      <c r="C62" s="280"/>
      <c r="D62" s="280"/>
      <c r="E62" s="280"/>
      <c r="F62" s="280"/>
      <c r="G62" s="281">
        <v>-1</v>
      </c>
      <c r="H62" s="893" t="str">
        <f>+H12</f>
        <v>Revenues</v>
      </c>
      <c r="I62" s="893"/>
      <c r="J62" s="893"/>
      <c r="K62" s="893"/>
      <c r="L62" s="893"/>
      <c r="M62" s="893"/>
      <c r="N62" s="282">
        <f t="shared" ref="N62:U62" si="36">+N12</f>
        <v>290811.86605403648</v>
      </c>
      <c r="O62" s="281">
        <f t="shared" si="36"/>
        <v>298296.985785008</v>
      </c>
      <c r="P62" s="281">
        <f t="shared" si="36"/>
        <v>318788.7560107265</v>
      </c>
      <c r="Q62" s="281">
        <f t="shared" si="36"/>
        <v>340334.97743351356</v>
      </c>
      <c r="R62" s="282">
        <f t="shared" si="36"/>
        <v>350644.7962742197</v>
      </c>
      <c r="S62" s="420">
        <f t="shared" si="36"/>
        <v>360518.76337629865</v>
      </c>
      <c r="T62" s="420">
        <f t="shared" si="36"/>
        <v>0</v>
      </c>
      <c r="U62" s="420">
        <f t="shared" si="36"/>
        <v>0</v>
      </c>
    </row>
    <row r="63" spans="1:76">
      <c r="A63" s="283" t="s">
        <v>218</v>
      </c>
      <c r="B63" s="283" t="s">
        <v>50</v>
      </c>
      <c r="C63" s="283" t="s">
        <v>61</v>
      </c>
      <c r="D63" s="283" t="s">
        <v>116</v>
      </c>
      <c r="E63" s="283" t="s">
        <v>149</v>
      </c>
      <c r="F63" s="283"/>
      <c r="G63" s="284">
        <v>-1</v>
      </c>
      <c r="H63" s="894"/>
      <c r="I63" s="145" t="str">
        <f>+RIGHT(D63,LEN(D63)-5)</f>
        <v>Total Revenues</v>
      </c>
      <c r="J63" s="145"/>
      <c r="K63" s="145"/>
      <c r="L63" s="145"/>
      <c r="M63" s="145"/>
      <c r="N63" s="285">
        <v>-290811.86605403654</v>
      </c>
      <c r="O63" s="284">
        <v>-298296.985785008</v>
      </c>
      <c r="P63" s="284">
        <v>-318788.7560107265</v>
      </c>
      <c r="Q63" s="284">
        <v>-340334.97743351356</v>
      </c>
      <c r="R63" s="285">
        <v>-350644.7962742197</v>
      </c>
      <c r="S63" s="421">
        <v>-360518.76338350307</v>
      </c>
      <c r="T63" s="421">
        <v>-15592.552891378115</v>
      </c>
      <c r="U63" s="421">
        <v>0</v>
      </c>
    </row>
    <row r="64" spans="1:76" ht="14.4" thickBot="1">
      <c r="G64" s="253"/>
      <c r="I64" s="895" t="s">
        <v>119</v>
      </c>
      <c r="J64" s="895"/>
      <c r="K64" s="895"/>
      <c r="L64" s="895"/>
      <c r="M64" s="895"/>
      <c r="N64" s="289">
        <f t="shared" ref="N64:U64" si="37">+SUM(N62:N63)</f>
        <v>0</v>
      </c>
      <c r="O64" s="288">
        <f t="shared" si="37"/>
        <v>0</v>
      </c>
      <c r="P64" s="288">
        <f t="shared" si="37"/>
        <v>0</v>
      </c>
      <c r="Q64" s="288">
        <f t="shared" si="37"/>
        <v>0</v>
      </c>
      <c r="R64" s="289">
        <f t="shared" si="37"/>
        <v>0</v>
      </c>
      <c r="S64" s="422">
        <f t="shared" si="37"/>
        <v>-7.2044203989207745E-6</v>
      </c>
      <c r="T64" s="422">
        <f t="shared" si="37"/>
        <v>-15592.552891378115</v>
      </c>
      <c r="U64" s="422">
        <f t="shared" si="37"/>
        <v>0</v>
      </c>
    </row>
    <row r="65" spans="1:29" ht="14.4" thickTop="1">
      <c r="G65" s="253"/>
      <c r="N65" s="250"/>
      <c r="R65" s="250"/>
    </row>
    <row r="66" spans="1:29">
      <c r="A66" s="279"/>
      <c r="B66" s="280"/>
      <c r="C66" s="280"/>
      <c r="D66" s="280"/>
      <c r="E66" s="280"/>
      <c r="F66" s="280"/>
      <c r="G66" s="281">
        <v>-1</v>
      </c>
      <c r="H66" s="893" t="str">
        <f>+H8</f>
        <v>Sales-based</v>
      </c>
      <c r="I66" s="893"/>
      <c r="J66" s="893"/>
      <c r="K66" s="893"/>
      <c r="L66" s="893"/>
      <c r="M66" s="893"/>
      <c r="N66" s="282">
        <f t="shared" ref="N66:U66" si="38">+SUM(N67:N69)</f>
        <v>-111270.37773963185</v>
      </c>
      <c r="O66" s="281">
        <f t="shared" si="38"/>
        <v>-115933.33368721513</v>
      </c>
      <c r="P66" s="281">
        <f t="shared" si="38"/>
        <v>-118637.09193690095</v>
      </c>
      <c r="Q66" s="281">
        <f t="shared" si="38"/>
        <v>-131305.31036238626</v>
      </c>
      <c r="R66" s="282">
        <f t="shared" si="38"/>
        <v>-136355.10899602811</v>
      </c>
      <c r="S66" s="420">
        <f t="shared" si="38"/>
        <v>-135509.10549501408</v>
      </c>
      <c r="T66" s="420">
        <f t="shared" si="38"/>
        <v>-22070.66773535452</v>
      </c>
      <c r="U66" s="420">
        <f t="shared" si="38"/>
        <v>0</v>
      </c>
    </row>
    <row r="67" spans="1:29">
      <c r="A67" s="283" t="s">
        <v>218</v>
      </c>
      <c r="B67" s="283" t="s">
        <v>50</v>
      </c>
      <c r="C67" s="283" t="s">
        <v>258</v>
      </c>
      <c r="D67" s="283" t="s">
        <v>122</v>
      </c>
      <c r="E67" s="283" t="s">
        <v>149</v>
      </c>
      <c r="F67" s="283"/>
      <c r="G67" s="284">
        <v>-1</v>
      </c>
      <c r="H67" s="894" t="s">
        <v>256</v>
      </c>
      <c r="I67" s="145" t="str">
        <f>+RIGHT(D67,LEN(D67)-5)</f>
        <v>Sales Based Revenue</v>
      </c>
      <c r="J67" s="145"/>
      <c r="K67" s="145"/>
      <c r="L67" s="145"/>
      <c r="M67" s="145"/>
      <c r="N67" s="285">
        <v>-106799.35927</v>
      </c>
      <c r="O67" s="284">
        <v>-112634.53442</v>
      </c>
      <c r="P67" s="284">
        <v>-114970.63427000001</v>
      </c>
      <c r="Q67" s="284">
        <v>-126985.60973</v>
      </c>
      <c r="R67" s="285">
        <v>-131379.37505999999</v>
      </c>
      <c r="S67" s="421">
        <v>-131231.98282</v>
      </c>
      <c r="T67" s="421">
        <v>-19732.08239</v>
      </c>
      <c r="U67" s="421">
        <v>0</v>
      </c>
      <c r="AB67" s="253">
        <f>+SUMIF($N$59:$Q$59,"Yes",$N67:$Q67)</f>
        <v>-219433.89369</v>
      </c>
      <c r="AC67" s="253">
        <f t="shared" ref="AC67:AC68" si="39">+SUMIF($R$59:$U$59,"Yes",$R67:$U67)</f>
        <v>-262611.35788000003</v>
      </c>
    </row>
    <row r="68" spans="1:29">
      <c r="A68" s="283" t="s">
        <v>218</v>
      </c>
      <c r="B68" s="283" t="s">
        <v>50</v>
      </c>
      <c r="C68" s="283" t="s">
        <v>255</v>
      </c>
      <c r="D68" s="283" t="s">
        <v>122</v>
      </c>
      <c r="E68" s="283" t="s">
        <v>149</v>
      </c>
      <c r="F68" s="283"/>
      <c r="G68" s="284">
        <v>-1</v>
      </c>
      <c r="H68" s="894" t="s">
        <v>257</v>
      </c>
      <c r="I68" s="145" t="str">
        <f>+RIGHT(D68,LEN(D68)-5)</f>
        <v>Sales Based Revenue</v>
      </c>
      <c r="J68" s="145"/>
      <c r="K68" s="145"/>
      <c r="L68" s="145"/>
      <c r="M68" s="145"/>
      <c r="N68" s="285">
        <v>-4471.0184696318529</v>
      </c>
      <c r="O68" s="284">
        <v>-3298.7992672151277</v>
      </c>
      <c r="P68" s="284">
        <v>-3666.4576669009348</v>
      </c>
      <c r="Q68" s="284">
        <v>-4319.7006323862643</v>
      </c>
      <c r="R68" s="285">
        <v>-4975.7339360281303</v>
      </c>
      <c r="S68" s="421">
        <v>-4277.1226750140768</v>
      </c>
      <c r="T68" s="421">
        <v>-2338.5853453545215</v>
      </c>
      <c r="U68" s="421">
        <v>0</v>
      </c>
      <c r="AB68" s="253">
        <f t="shared" ref="AB68" si="40">+SUMIF($N$59:$Q$59,"Yes",$N68:$Q68)</f>
        <v>-7769.8177368469806</v>
      </c>
      <c r="AC68" s="253">
        <f t="shared" si="39"/>
        <v>-9252.8566110422071</v>
      </c>
    </row>
    <row r="69" spans="1:29">
      <c r="G69" s="253"/>
      <c r="N69" s="250"/>
      <c r="R69" s="250"/>
      <c r="AB69" s="253"/>
      <c r="AC69" s="253"/>
    </row>
    <row r="70" spans="1:29">
      <c r="A70" s="279"/>
      <c r="B70" s="280"/>
      <c r="C70" s="280"/>
      <c r="D70" s="280"/>
      <c r="E70" s="280"/>
      <c r="F70" s="280"/>
      <c r="G70" s="281">
        <v>-1</v>
      </c>
      <c r="H70" s="893" t="str">
        <f>+H9</f>
        <v>Asset-based</v>
      </c>
      <c r="I70" s="893"/>
      <c r="J70" s="893"/>
      <c r="K70" s="893"/>
      <c r="L70" s="893"/>
      <c r="M70" s="893"/>
      <c r="N70" s="282">
        <f t="shared" ref="N70:U70" si="41">+SUM(N71:N73)</f>
        <v>-152014.43639187611</v>
      </c>
      <c r="O70" s="281">
        <f t="shared" si="41"/>
        <v>-154734.58171857041</v>
      </c>
      <c r="P70" s="281">
        <f t="shared" si="41"/>
        <v>-172286.48846890862</v>
      </c>
      <c r="Q70" s="281">
        <f t="shared" si="41"/>
        <v>-181407.47323064195</v>
      </c>
      <c r="R70" s="282">
        <f t="shared" si="41"/>
        <v>-187366.4282321558</v>
      </c>
      <c r="S70" s="420">
        <f t="shared" si="41"/>
        <v>-197598.41666312199</v>
      </c>
      <c r="T70" s="420">
        <f t="shared" si="41"/>
        <v>6790.1259939764068</v>
      </c>
      <c r="U70" s="420">
        <f t="shared" si="41"/>
        <v>0</v>
      </c>
      <c r="AB70" s="253"/>
      <c r="AC70" s="253"/>
    </row>
    <row r="71" spans="1:29">
      <c r="A71" s="283" t="s">
        <v>218</v>
      </c>
      <c r="B71" s="283" t="s">
        <v>50</v>
      </c>
      <c r="C71" s="283" t="s">
        <v>258</v>
      </c>
      <c r="D71" s="283" t="s">
        <v>123</v>
      </c>
      <c r="E71" s="283" t="s">
        <v>149</v>
      </c>
      <c r="F71" s="283"/>
      <c r="G71" s="284">
        <v>-1</v>
      </c>
      <c r="H71" s="894" t="s">
        <v>256</v>
      </c>
      <c r="I71" s="145" t="str">
        <f>+RIGHT(D71,LEN(D71)-5)</f>
        <v>Asset Based Revenue</v>
      </c>
      <c r="J71" s="145"/>
      <c r="K71" s="145"/>
      <c r="L71" s="145"/>
      <c r="M71" s="145"/>
      <c r="N71" s="285">
        <v>-99958.776729999998</v>
      </c>
      <c r="O71" s="284">
        <v>-100643.52428</v>
      </c>
      <c r="P71" s="284">
        <v>-112008.62673999999</v>
      </c>
      <c r="Q71" s="284">
        <v>-118433.00547</v>
      </c>
      <c r="R71" s="285">
        <v>-122427.12853</v>
      </c>
      <c r="S71" s="421">
        <v>-129347.60359</v>
      </c>
      <c r="T71" s="421">
        <v>553.12920999999994</v>
      </c>
      <c r="U71" s="421">
        <v>0</v>
      </c>
      <c r="AB71" s="253">
        <f>+SUMIF($N$59:$Q$59,"Yes",$N71:$Q71)</f>
        <v>-200602.30101</v>
      </c>
      <c r="AC71" s="253">
        <f t="shared" ref="AC71:AC72" si="42">+SUMIF($R$59:$U$59,"Yes",$R71:$U71)</f>
        <v>-251774.73212</v>
      </c>
    </row>
    <row r="72" spans="1:29">
      <c r="A72" s="283" t="s">
        <v>218</v>
      </c>
      <c r="B72" s="283" t="s">
        <v>50</v>
      </c>
      <c r="C72" s="283" t="s">
        <v>255</v>
      </c>
      <c r="D72" s="283" t="s">
        <v>123</v>
      </c>
      <c r="E72" s="283" t="s">
        <v>149</v>
      </c>
      <c r="F72" s="283"/>
      <c r="G72" s="284">
        <v>-1</v>
      </c>
      <c r="H72" s="894" t="s">
        <v>257</v>
      </c>
      <c r="I72" s="145" t="str">
        <f>+RIGHT(D72,LEN(D72)-5)</f>
        <v>Asset Based Revenue</v>
      </c>
      <c r="J72" s="145"/>
      <c r="K72" s="145"/>
      <c r="L72" s="145"/>
      <c r="M72" s="145"/>
      <c r="N72" s="285">
        <v>-52055.659661876103</v>
      </c>
      <c r="O72" s="284">
        <v>-54091.057438570409</v>
      </c>
      <c r="P72" s="284">
        <v>-60277.861728908618</v>
      </c>
      <c r="Q72" s="284">
        <v>-62974.46776064195</v>
      </c>
      <c r="R72" s="285">
        <v>-64939.299702155804</v>
      </c>
      <c r="S72" s="421">
        <v>-68250.813073121986</v>
      </c>
      <c r="T72" s="421">
        <v>6236.9967839764067</v>
      </c>
      <c r="U72" s="421">
        <v>0</v>
      </c>
      <c r="AB72" s="253">
        <f t="shared" ref="AB72" si="43">+SUMIF($N$59:$Q$59,"Yes",$N72:$Q72)</f>
        <v>-106146.71710044652</v>
      </c>
      <c r="AC72" s="253">
        <f t="shared" si="42"/>
        <v>-133190.11277527778</v>
      </c>
    </row>
    <row r="73" spans="1:29">
      <c r="G73" s="253"/>
      <c r="N73" s="250"/>
      <c r="R73" s="250"/>
      <c r="AB73" s="253"/>
      <c r="AC73" s="253"/>
    </row>
    <row r="74" spans="1:29">
      <c r="A74" s="279"/>
      <c r="B74" s="280"/>
      <c r="C74" s="280"/>
      <c r="D74" s="280"/>
      <c r="E74" s="280"/>
      <c r="F74" s="280"/>
      <c r="G74" s="281">
        <v>-1</v>
      </c>
      <c r="H74" s="893" t="str">
        <f>+H10</f>
        <v>Account-based</v>
      </c>
      <c r="I74" s="893"/>
      <c r="J74" s="893"/>
      <c r="K74" s="893"/>
      <c r="L74" s="893"/>
      <c r="M74" s="893"/>
      <c r="N74" s="282">
        <f t="shared" ref="N74:U74" si="44">+SUM(N75:N77)</f>
        <v>-24194.529030000002</v>
      </c>
      <c r="O74" s="281">
        <f t="shared" si="44"/>
        <v>-24393.52131</v>
      </c>
      <c r="P74" s="281">
        <f t="shared" si="44"/>
        <v>-24420.185280000002</v>
      </c>
      <c r="Q74" s="281">
        <f t="shared" si="44"/>
        <v>-24347.207630000001</v>
      </c>
      <c r="R74" s="282">
        <f t="shared" si="44"/>
        <v>-23618.55299</v>
      </c>
      <c r="S74" s="420">
        <f t="shared" si="44"/>
        <v>-24118.351420000003</v>
      </c>
      <c r="T74" s="420">
        <f t="shared" si="44"/>
        <v>-178.91892000000001</v>
      </c>
      <c r="U74" s="420">
        <f t="shared" si="44"/>
        <v>0</v>
      </c>
      <c r="AB74" s="253"/>
      <c r="AC74" s="253"/>
    </row>
    <row r="75" spans="1:29">
      <c r="A75" s="283" t="s">
        <v>218</v>
      </c>
      <c r="B75" s="283" t="s">
        <v>50</v>
      </c>
      <c r="C75" s="283" t="s">
        <v>258</v>
      </c>
      <c r="D75" s="283" t="s">
        <v>124</v>
      </c>
      <c r="E75" s="283" t="s">
        <v>149</v>
      </c>
      <c r="F75" s="283"/>
      <c r="G75" s="284">
        <v>-1</v>
      </c>
      <c r="H75" s="894" t="s">
        <v>256</v>
      </c>
      <c r="I75" s="145" t="str">
        <f>+RIGHT(D75,LEN(D75)-5)</f>
        <v>Account Based Revenue</v>
      </c>
      <c r="J75" s="145"/>
      <c r="K75" s="145"/>
      <c r="L75" s="145"/>
      <c r="M75" s="145"/>
      <c r="N75" s="285">
        <v>-24194.529030000002</v>
      </c>
      <c r="O75" s="284">
        <v>-24393.52131</v>
      </c>
      <c r="P75" s="284">
        <v>-24420.185280000002</v>
      </c>
      <c r="Q75" s="284">
        <v>-24347.207630000001</v>
      </c>
      <c r="R75" s="285">
        <v>-23618.55299</v>
      </c>
      <c r="S75" s="421">
        <v>-24118.351420000003</v>
      </c>
      <c r="T75" s="421">
        <v>-178.91892000000001</v>
      </c>
      <c r="U75" s="421">
        <v>0</v>
      </c>
      <c r="AB75" s="253"/>
      <c r="AC75" s="253"/>
    </row>
    <row r="76" spans="1:29">
      <c r="A76" s="283" t="s">
        <v>218</v>
      </c>
      <c r="B76" s="283" t="s">
        <v>50</v>
      </c>
      <c r="C76" s="283" t="s">
        <v>255</v>
      </c>
      <c r="D76" s="283" t="s">
        <v>124</v>
      </c>
      <c r="E76" s="283" t="s">
        <v>149</v>
      </c>
      <c r="F76" s="283"/>
      <c r="G76" s="284">
        <v>-1</v>
      </c>
      <c r="H76" s="894" t="s">
        <v>257</v>
      </c>
      <c r="I76" s="145" t="str">
        <f>+RIGHT(D76,LEN(D76)-5)</f>
        <v>Account Based Revenue</v>
      </c>
      <c r="J76" s="145"/>
      <c r="K76" s="145"/>
      <c r="L76" s="145"/>
      <c r="M76" s="145"/>
      <c r="N76" s="285">
        <v>0</v>
      </c>
      <c r="O76" s="284">
        <v>0</v>
      </c>
      <c r="P76" s="284">
        <v>0</v>
      </c>
      <c r="Q76" s="284">
        <v>0</v>
      </c>
      <c r="R76" s="285">
        <v>0</v>
      </c>
      <c r="S76" s="421">
        <v>0</v>
      </c>
      <c r="T76" s="421">
        <v>0</v>
      </c>
      <c r="U76" s="421">
        <v>0</v>
      </c>
      <c r="AB76" s="253"/>
      <c r="AC76" s="253"/>
    </row>
    <row r="77" spans="1:29">
      <c r="G77" s="253"/>
      <c r="N77" s="250"/>
      <c r="R77" s="250"/>
      <c r="AB77" s="253"/>
      <c r="AC77" s="253"/>
    </row>
    <row r="78" spans="1:29">
      <c r="A78" s="279"/>
      <c r="B78" s="280"/>
      <c r="C78" s="280"/>
      <c r="D78" s="280"/>
      <c r="E78" s="280"/>
      <c r="F78" s="280"/>
      <c r="G78" s="281">
        <v>-1</v>
      </c>
      <c r="H78" s="893" t="str">
        <f>+H11</f>
        <v>Other, net</v>
      </c>
      <c r="I78" s="893"/>
      <c r="J78" s="893"/>
      <c r="K78" s="893"/>
      <c r="L78" s="893"/>
      <c r="M78" s="893"/>
      <c r="N78" s="282">
        <f t="shared" ref="N78:U78" si="45">+SUM(N79:N81)</f>
        <v>-3332.5228925285755</v>
      </c>
      <c r="O78" s="281">
        <f t="shared" si="45"/>
        <v>-3235.549069222473</v>
      </c>
      <c r="P78" s="281">
        <f t="shared" si="45"/>
        <v>-3444.9903249169774</v>
      </c>
      <c r="Q78" s="281">
        <f t="shared" si="45"/>
        <v>-3274.9862104853282</v>
      </c>
      <c r="R78" s="282">
        <f t="shared" si="45"/>
        <v>-3304.7060560357754</v>
      </c>
      <c r="S78" s="420">
        <f t="shared" si="45"/>
        <v>-3292.8897981625905</v>
      </c>
      <c r="T78" s="420">
        <f t="shared" si="45"/>
        <v>-133.09223</v>
      </c>
      <c r="U78" s="420">
        <f t="shared" si="45"/>
        <v>0</v>
      </c>
      <c r="AB78" s="253"/>
      <c r="AC78" s="253"/>
    </row>
    <row r="79" spans="1:29">
      <c r="A79" s="283" t="s">
        <v>218</v>
      </c>
      <c r="B79" s="283" t="s">
        <v>50</v>
      </c>
      <c r="C79" s="283" t="s">
        <v>61</v>
      </c>
      <c r="D79" s="283" t="s">
        <v>125</v>
      </c>
      <c r="E79" s="283" t="s">
        <v>149</v>
      </c>
      <c r="F79" s="283"/>
      <c r="G79" s="284">
        <v>-1</v>
      </c>
      <c r="H79" s="894"/>
      <c r="I79" s="145" t="str">
        <f>+RIGHT(D79,LEN(D79)-5)</f>
        <v>Other Distributive Revenue</v>
      </c>
      <c r="J79" s="145"/>
      <c r="K79" s="145"/>
      <c r="L79" s="145"/>
      <c r="M79" s="145"/>
      <c r="N79" s="285">
        <v>0</v>
      </c>
      <c r="O79" s="284">
        <v>0</v>
      </c>
      <c r="P79" s="284">
        <v>0</v>
      </c>
      <c r="Q79" s="284">
        <v>0</v>
      </c>
      <c r="R79" s="285">
        <v>0</v>
      </c>
      <c r="S79" s="421">
        <v>0</v>
      </c>
      <c r="T79" s="421">
        <v>0</v>
      </c>
      <c r="U79" s="421">
        <v>0</v>
      </c>
      <c r="AB79" s="253"/>
      <c r="AC79" s="253"/>
    </row>
    <row r="80" spans="1:29">
      <c r="A80" s="283" t="s">
        <v>218</v>
      </c>
      <c r="B80" s="283" t="s">
        <v>50</v>
      </c>
      <c r="C80" s="283" t="s">
        <v>61</v>
      </c>
      <c r="D80" s="283" t="s">
        <v>127</v>
      </c>
      <c r="E80" s="283" t="s">
        <v>149</v>
      </c>
      <c r="F80" s="283"/>
      <c r="G80" s="284">
        <v>-1</v>
      </c>
      <c r="H80" s="894"/>
      <c r="I80" s="145" t="str">
        <f>+RIGHT(D80,LEN(D80)-5)</f>
        <v>Other Income</v>
      </c>
      <c r="J80" s="145"/>
      <c r="K80" s="145"/>
      <c r="L80" s="145"/>
      <c r="M80" s="145"/>
      <c r="N80" s="285">
        <v>-3332.5228925285755</v>
      </c>
      <c r="O80" s="284">
        <v>-3235.549069222473</v>
      </c>
      <c r="P80" s="284">
        <v>-3444.9903249169774</v>
      </c>
      <c r="Q80" s="284">
        <v>-3274.9862104853282</v>
      </c>
      <c r="R80" s="285">
        <v>-3304.7060560357754</v>
      </c>
      <c r="S80" s="421">
        <v>-3292.8897981625905</v>
      </c>
      <c r="T80" s="421">
        <v>-133.09223</v>
      </c>
      <c r="U80" s="421">
        <v>0</v>
      </c>
      <c r="AB80" s="253"/>
      <c r="AC80" s="253"/>
    </row>
    <row r="81" spans="1:29">
      <c r="G81" s="253"/>
      <c r="N81" s="250"/>
      <c r="R81" s="250"/>
      <c r="AB81" s="253"/>
      <c r="AC81" s="253"/>
    </row>
    <row r="82" spans="1:29">
      <c r="G82" s="253"/>
      <c r="N82" s="250"/>
      <c r="R82" s="250"/>
      <c r="AB82" s="253"/>
      <c r="AC82" s="253"/>
    </row>
    <row r="83" spans="1:29">
      <c r="A83" s="279"/>
      <c r="B83" s="280"/>
      <c r="C83" s="280"/>
      <c r="D83" s="280"/>
      <c r="E83" s="280"/>
      <c r="F83" s="280"/>
      <c r="G83" s="281">
        <v>1</v>
      </c>
      <c r="H83" s="893" t="str">
        <f>+H21</f>
        <v>Benefits and expenses</v>
      </c>
      <c r="I83" s="893"/>
      <c r="J83" s="893"/>
      <c r="K83" s="893"/>
      <c r="L83" s="893"/>
      <c r="M83" s="893"/>
      <c r="N83" s="282">
        <f t="shared" ref="N83:U83" si="46">+N21</f>
        <v>209541.38170378172</v>
      </c>
      <c r="O83" s="281">
        <f t="shared" si="46"/>
        <v>218876.65008649358</v>
      </c>
      <c r="P83" s="281">
        <f t="shared" si="46"/>
        <v>224565.26984979512</v>
      </c>
      <c r="Q83" s="281">
        <f t="shared" si="46"/>
        <v>239726.15948409666</v>
      </c>
      <c r="R83" s="282">
        <f t="shared" si="46"/>
        <v>249745.29590999166</v>
      </c>
      <c r="S83" s="420">
        <f t="shared" si="46"/>
        <v>256303.15397735141</v>
      </c>
      <c r="T83" s="420">
        <f t="shared" si="46"/>
        <v>0</v>
      </c>
      <c r="U83" s="420">
        <f t="shared" si="46"/>
        <v>0</v>
      </c>
      <c r="AB83" s="253"/>
      <c r="AC83" s="253"/>
    </row>
    <row r="84" spans="1:29">
      <c r="A84" s="283" t="s">
        <v>218</v>
      </c>
      <c r="B84" s="283" t="s">
        <v>50</v>
      </c>
      <c r="C84" s="283" t="s">
        <v>61</v>
      </c>
      <c r="D84" s="283" t="s">
        <v>130</v>
      </c>
      <c r="E84" s="283" t="s">
        <v>149</v>
      </c>
      <c r="F84" s="283"/>
      <c r="G84" s="284">
        <v>1</v>
      </c>
      <c r="H84" s="894"/>
      <c r="I84" s="145" t="str">
        <f>+RIGHT(D84,LEN(D84)-5)</f>
        <v>Benefits and Expenses</v>
      </c>
      <c r="J84" s="145"/>
      <c r="K84" s="145"/>
      <c r="L84" s="145"/>
      <c r="M84" s="145"/>
      <c r="N84" s="285">
        <v>209541.38170378172</v>
      </c>
      <c r="O84" s="284">
        <v>218876.65008649358</v>
      </c>
      <c r="P84" s="284">
        <v>224565.26984979509</v>
      </c>
      <c r="Q84" s="284">
        <v>239726.15948409666</v>
      </c>
      <c r="R84" s="285">
        <v>249745.29590999169</v>
      </c>
      <c r="S84" s="421">
        <v>256303.15397735141</v>
      </c>
      <c r="T84" s="421">
        <v>57818.006150495028</v>
      </c>
      <c r="U84" s="421">
        <v>0</v>
      </c>
      <c r="AB84" s="253"/>
      <c r="AC84" s="253"/>
    </row>
    <row r="85" spans="1:29" ht="14.4" thickBot="1">
      <c r="G85" s="253"/>
      <c r="I85" s="895" t="s">
        <v>146</v>
      </c>
      <c r="J85" s="895"/>
      <c r="K85" s="895"/>
      <c r="L85" s="895"/>
      <c r="M85" s="895"/>
      <c r="N85" s="289">
        <f t="shared" ref="N85:U85" si="47">+N83-N84</f>
        <v>0</v>
      </c>
      <c r="O85" s="288">
        <f t="shared" si="47"/>
        <v>0</v>
      </c>
      <c r="P85" s="288">
        <f t="shared" si="47"/>
        <v>0</v>
      </c>
      <c r="Q85" s="288">
        <f t="shared" si="47"/>
        <v>0</v>
      </c>
      <c r="R85" s="289">
        <f t="shared" si="47"/>
        <v>0</v>
      </c>
      <c r="S85" s="422">
        <f t="shared" si="47"/>
        <v>0</v>
      </c>
      <c r="T85" s="422">
        <f t="shared" si="47"/>
        <v>-57818.006150495028</v>
      </c>
      <c r="U85" s="422">
        <f t="shared" si="47"/>
        <v>0</v>
      </c>
      <c r="AB85" s="253"/>
      <c r="AC85" s="253"/>
    </row>
    <row r="86" spans="1:29" ht="14.4" thickTop="1">
      <c r="G86" s="253"/>
      <c r="N86" s="250"/>
      <c r="R86" s="250"/>
      <c r="AB86" s="253"/>
      <c r="AC86" s="253"/>
    </row>
    <row r="87" spans="1:29">
      <c r="A87" s="279"/>
      <c r="B87" s="280"/>
      <c r="C87" s="280"/>
      <c r="D87" s="280"/>
      <c r="E87" s="280"/>
      <c r="F87" s="280"/>
      <c r="G87" s="281">
        <v>1</v>
      </c>
      <c r="H87" s="893" t="str">
        <f>+I88</f>
        <v>Benefits and Claims</v>
      </c>
      <c r="I87" s="893"/>
      <c r="J87" s="893"/>
      <c r="K87" s="893"/>
      <c r="L87" s="893"/>
      <c r="M87" s="893"/>
      <c r="N87" s="282">
        <f t="shared" ref="N87:U87" si="48">+SUM(N88:N89)</f>
        <v>0</v>
      </c>
      <c r="O87" s="281">
        <f t="shared" si="48"/>
        <v>0</v>
      </c>
      <c r="P87" s="281">
        <f t="shared" si="48"/>
        <v>0</v>
      </c>
      <c r="Q87" s="281">
        <f t="shared" si="48"/>
        <v>0</v>
      </c>
      <c r="R87" s="282">
        <f t="shared" si="48"/>
        <v>0</v>
      </c>
      <c r="S87" s="420">
        <f t="shared" si="48"/>
        <v>0</v>
      </c>
      <c r="T87" s="420">
        <f t="shared" si="48"/>
        <v>0</v>
      </c>
      <c r="U87" s="420">
        <f t="shared" si="48"/>
        <v>0</v>
      </c>
      <c r="AB87" s="253"/>
      <c r="AC87" s="253"/>
    </row>
    <row r="88" spans="1:29">
      <c r="A88" s="283" t="s">
        <v>218</v>
      </c>
      <c r="B88" s="283" t="s">
        <v>50</v>
      </c>
      <c r="C88" s="283" t="s">
        <v>61</v>
      </c>
      <c r="D88" s="283" t="s">
        <v>128</v>
      </c>
      <c r="E88" s="283" t="s">
        <v>149</v>
      </c>
      <c r="F88" s="283"/>
      <c r="G88" s="284">
        <v>1</v>
      </c>
      <c r="H88" s="894"/>
      <c r="I88" s="145" t="str">
        <f>+RIGHT(D88,LEN(D88)-5)</f>
        <v>Benefits and Claims</v>
      </c>
      <c r="J88" s="145"/>
      <c r="K88" s="145"/>
      <c r="L88" s="145"/>
      <c r="M88" s="145"/>
      <c r="N88" s="285">
        <v>0</v>
      </c>
      <c r="O88" s="284">
        <v>0</v>
      </c>
      <c r="P88" s="284">
        <v>0</v>
      </c>
      <c r="Q88" s="284">
        <v>0</v>
      </c>
      <c r="R88" s="285">
        <v>0</v>
      </c>
      <c r="S88" s="421">
        <v>0</v>
      </c>
      <c r="T88" s="421">
        <v>0</v>
      </c>
      <c r="U88" s="421">
        <v>0</v>
      </c>
      <c r="AB88" s="253"/>
      <c r="AC88" s="253"/>
    </row>
    <row r="89" spans="1:29">
      <c r="G89" s="253"/>
      <c r="N89" s="250"/>
      <c r="R89" s="250"/>
      <c r="AB89" s="253"/>
      <c r="AC89" s="253"/>
    </row>
    <row r="90" spans="1:29">
      <c r="A90" s="279"/>
      <c r="B90" s="280"/>
      <c r="C90" s="280"/>
      <c r="D90" s="280"/>
      <c r="E90" s="280"/>
      <c r="F90" s="280"/>
      <c r="G90" s="281">
        <v>1</v>
      </c>
      <c r="H90" s="893" t="str">
        <f>+H15</f>
        <v>Amortization of DAC</v>
      </c>
      <c r="I90" s="893"/>
      <c r="J90" s="893"/>
      <c r="K90" s="893"/>
      <c r="L90" s="893"/>
      <c r="M90" s="893"/>
      <c r="N90" s="282">
        <f t="shared" ref="N90:U90" si="49">+SUM(N91:N92)</f>
        <v>1337.25986976587</v>
      </c>
      <c r="O90" s="281">
        <f t="shared" si="49"/>
        <v>1367.9502976109</v>
      </c>
      <c r="P90" s="281">
        <f t="shared" si="49"/>
        <v>1354.60068701767</v>
      </c>
      <c r="Q90" s="281">
        <f t="shared" si="49"/>
        <v>1321.07748677578</v>
      </c>
      <c r="R90" s="282">
        <f t="shared" si="49"/>
        <v>1333.7487780389099</v>
      </c>
      <c r="S90" s="420">
        <f t="shared" si="49"/>
        <v>1304.0705079465201</v>
      </c>
      <c r="T90" s="420">
        <f t="shared" si="49"/>
        <v>51257.102682340097</v>
      </c>
      <c r="U90" s="420">
        <f t="shared" si="49"/>
        <v>0</v>
      </c>
      <c r="AB90" s="253"/>
      <c r="AC90" s="253"/>
    </row>
    <row r="91" spans="1:29">
      <c r="A91" s="283" t="s">
        <v>218</v>
      </c>
      <c r="B91" s="283" t="s">
        <v>50</v>
      </c>
      <c r="C91" s="283" t="s">
        <v>61</v>
      </c>
      <c r="D91" s="283" t="s">
        <v>91</v>
      </c>
      <c r="E91" s="283" t="s">
        <v>149</v>
      </c>
      <c r="F91" s="283"/>
      <c r="G91" s="284">
        <v>1</v>
      </c>
      <c r="H91" s="894"/>
      <c r="I91" s="145" t="str">
        <f>+RIGHT(D91,LEN(D91)-5)</f>
        <v>Amortization of DAC</v>
      </c>
      <c r="J91" s="145"/>
      <c r="K91" s="145"/>
      <c r="L91" s="145"/>
      <c r="M91" s="145"/>
      <c r="N91" s="285">
        <v>1337.25986976587</v>
      </c>
      <c r="O91" s="284">
        <v>1367.9502976109</v>
      </c>
      <c r="P91" s="284">
        <v>1354.60068701767</v>
      </c>
      <c r="Q91" s="284">
        <v>1321.07748677578</v>
      </c>
      <c r="R91" s="285">
        <v>1333.7487780389099</v>
      </c>
      <c r="S91" s="421">
        <v>1304.0705079465201</v>
      </c>
      <c r="T91" s="421">
        <v>51257.102682340097</v>
      </c>
      <c r="U91" s="421">
        <v>0</v>
      </c>
      <c r="AB91" s="253"/>
      <c r="AC91" s="253"/>
    </row>
    <row r="92" spans="1:29">
      <c r="G92" s="253"/>
      <c r="N92" s="250"/>
      <c r="R92" s="250"/>
      <c r="AB92" s="253"/>
      <c r="AC92" s="253"/>
    </row>
    <row r="93" spans="1:29">
      <c r="A93" s="279"/>
      <c r="B93" s="280"/>
      <c r="C93" s="280"/>
      <c r="D93" s="280"/>
      <c r="E93" s="280"/>
      <c r="F93" s="280"/>
      <c r="G93" s="281">
        <v>1</v>
      </c>
      <c r="H93" s="893" t="str">
        <f>+H16</f>
        <v>Insurance commissions</v>
      </c>
      <c r="I93" s="893"/>
      <c r="J93" s="893"/>
      <c r="K93" s="893"/>
      <c r="L93" s="893"/>
      <c r="M93" s="893"/>
      <c r="N93" s="282">
        <f t="shared" ref="N93:U93" si="50">+SUM(N94:N95)</f>
        <v>3277.0287626842774</v>
      </c>
      <c r="O93" s="281">
        <f t="shared" si="50"/>
        <v>3467.7101625964401</v>
      </c>
      <c r="P93" s="281">
        <f t="shared" si="50"/>
        <v>3484.7473452871973</v>
      </c>
      <c r="Q93" s="281">
        <f t="shared" si="50"/>
        <v>3526.0080192339697</v>
      </c>
      <c r="R93" s="282">
        <f t="shared" si="50"/>
        <v>3457.1974621846884</v>
      </c>
      <c r="S93" s="420">
        <f t="shared" si="50"/>
        <v>3449.9284719601574</v>
      </c>
      <c r="T93" s="420">
        <f t="shared" si="50"/>
        <v>1393.0204457638861</v>
      </c>
      <c r="U93" s="420">
        <f t="shared" si="50"/>
        <v>0</v>
      </c>
      <c r="AB93" s="253"/>
      <c r="AC93" s="253"/>
    </row>
    <row r="94" spans="1:29">
      <c r="A94" s="283" t="s">
        <v>218</v>
      </c>
      <c r="B94" s="283" t="s">
        <v>50</v>
      </c>
      <c r="C94" s="283" t="s">
        <v>61</v>
      </c>
      <c r="D94" s="283" t="s">
        <v>132</v>
      </c>
      <c r="E94" s="283" t="s">
        <v>149</v>
      </c>
      <c r="F94" s="283"/>
      <c r="G94" s="284">
        <v>1</v>
      </c>
      <c r="H94" s="894"/>
      <c r="I94" s="145" t="str">
        <f>+RIGHT(D94,LEN(D94)-5)</f>
        <v>Insurance Commissions</v>
      </c>
      <c r="J94" s="145"/>
      <c r="K94" s="145"/>
      <c r="L94" s="145"/>
      <c r="M94" s="145"/>
      <c r="N94" s="285">
        <v>3277.0287626842774</v>
      </c>
      <c r="O94" s="284">
        <v>3467.7101625964401</v>
      </c>
      <c r="P94" s="284">
        <v>3484.7473452871973</v>
      </c>
      <c r="Q94" s="284">
        <v>3526.0080192339697</v>
      </c>
      <c r="R94" s="285">
        <v>3457.1974621846884</v>
      </c>
      <c r="S94" s="421">
        <v>3449.9284719601574</v>
      </c>
      <c r="T94" s="421">
        <v>1393.0204457638861</v>
      </c>
      <c r="U94" s="421">
        <v>0</v>
      </c>
      <c r="AB94" s="253"/>
      <c r="AC94" s="253"/>
    </row>
    <row r="95" spans="1:29">
      <c r="G95" s="253"/>
      <c r="N95" s="250"/>
      <c r="R95" s="250"/>
      <c r="AB95" s="253"/>
      <c r="AC95" s="253"/>
    </row>
    <row r="96" spans="1:29">
      <c r="A96" s="279"/>
      <c r="B96" s="280"/>
      <c r="C96" s="280"/>
      <c r="D96" s="280"/>
      <c r="E96" s="280"/>
      <c r="F96" s="280"/>
      <c r="G96" s="281">
        <v>1</v>
      </c>
      <c r="H96" s="893" t="str">
        <f>+H18</f>
        <v>Sales-based</v>
      </c>
      <c r="I96" s="893"/>
      <c r="J96" s="893"/>
      <c r="K96" s="893"/>
      <c r="L96" s="893"/>
      <c r="M96" s="893"/>
      <c r="N96" s="282">
        <f t="shared" ref="N96:U96" si="51">+SUM(N97:N99)</f>
        <v>77266.531494286857</v>
      </c>
      <c r="O96" s="281">
        <f t="shared" si="51"/>
        <v>82935.441205120776</v>
      </c>
      <c r="P96" s="281">
        <f t="shared" si="51"/>
        <v>82866.96761402837</v>
      </c>
      <c r="Q96" s="281">
        <f t="shared" si="51"/>
        <v>89561.303025591013</v>
      </c>
      <c r="R96" s="282">
        <f t="shared" si="51"/>
        <v>95167.699535514621</v>
      </c>
      <c r="S96" s="420">
        <f t="shared" si="51"/>
        <v>95815.970654571458</v>
      </c>
      <c r="T96" s="420">
        <f t="shared" si="51"/>
        <v>11291.469355752575</v>
      </c>
      <c r="U96" s="420">
        <f t="shared" si="51"/>
        <v>0</v>
      </c>
      <c r="AB96" s="253"/>
      <c r="AC96" s="253"/>
    </row>
    <row r="97" spans="1:29">
      <c r="A97" s="283" t="s">
        <v>218</v>
      </c>
      <c r="B97" s="283" t="s">
        <v>50</v>
      </c>
      <c r="C97" s="283" t="s">
        <v>254</v>
      </c>
      <c r="D97" s="283" t="s">
        <v>135</v>
      </c>
      <c r="E97" s="283" t="s">
        <v>149</v>
      </c>
      <c r="F97" s="283"/>
      <c r="G97" s="284">
        <v>1</v>
      </c>
      <c r="H97" s="894" t="s">
        <v>256</v>
      </c>
      <c r="I97" s="145" t="str">
        <f>+RIGHT(D97,LEN(D97)-5)</f>
        <v>Sales Based Expense</v>
      </c>
      <c r="J97" s="145"/>
      <c r="K97" s="145"/>
      <c r="L97" s="145"/>
      <c r="M97" s="145"/>
      <c r="N97" s="285">
        <v>73572.727859999999</v>
      </c>
      <c r="O97" s="284">
        <v>80224.177190000002</v>
      </c>
      <c r="P97" s="284">
        <v>79852.694600000003</v>
      </c>
      <c r="Q97" s="284">
        <v>85817.687390000006</v>
      </c>
      <c r="R97" s="285">
        <v>91084.521110000016</v>
      </c>
      <c r="S97" s="421">
        <v>92316.09031</v>
      </c>
      <c r="T97" s="421">
        <v>10465.96996</v>
      </c>
      <c r="U97" s="421">
        <v>0</v>
      </c>
      <c r="AB97" s="253">
        <f t="shared" ref="AB97:AB98" si="52">+SUMIF($N$59:$Q$59,"Yes",$N97:$Q97)</f>
        <v>153796.90505</v>
      </c>
      <c r="AC97" s="253">
        <f t="shared" ref="AC97:AC98" si="53">+SUMIF($R$59:$U$59,"Yes",$R97:$U97)</f>
        <v>183400.61142000003</v>
      </c>
    </row>
    <row r="98" spans="1:29">
      <c r="A98" s="283" t="s">
        <v>218</v>
      </c>
      <c r="B98" s="283" t="s">
        <v>50</v>
      </c>
      <c r="C98" s="283" t="s">
        <v>255</v>
      </c>
      <c r="D98" s="283" t="s">
        <v>135</v>
      </c>
      <c r="E98" s="283" t="s">
        <v>149</v>
      </c>
      <c r="F98" s="283"/>
      <c r="G98" s="284">
        <v>1</v>
      </c>
      <c r="H98" s="894" t="s">
        <v>257</v>
      </c>
      <c r="I98" s="145" t="str">
        <f>+RIGHT(D98,LEN(D98)-5)</f>
        <v>Sales Based Expense</v>
      </c>
      <c r="J98" s="145"/>
      <c r="K98" s="145"/>
      <c r="L98" s="145"/>
      <c r="M98" s="145"/>
      <c r="N98" s="285">
        <v>3693.803634286854</v>
      </c>
      <c r="O98" s="284">
        <v>2711.2640151207752</v>
      </c>
      <c r="P98" s="284">
        <v>3014.2730140283707</v>
      </c>
      <c r="Q98" s="284">
        <v>3743.6156355910111</v>
      </c>
      <c r="R98" s="285">
        <v>4083.1784255146104</v>
      </c>
      <c r="S98" s="421">
        <v>3499.8803445714584</v>
      </c>
      <c r="T98" s="421">
        <v>825.49939575257554</v>
      </c>
      <c r="U98" s="421">
        <v>0</v>
      </c>
      <c r="AB98" s="253">
        <f t="shared" si="52"/>
        <v>6405.0676494076288</v>
      </c>
      <c r="AC98" s="253">
        <f t="shared" si="53"/>
        <v>7583.0587700860688</v>
      </c>
    </row>
    <row r="99" spans="1:29">
      <c r="G99" s="253"/>
      <c r="N99" s="250"/>
      <c r="R99" s="250"/>
      <c r="AB99" s="253"/>
      <c r="AC99" s="253"/>
    </row>
    <row r="100" spans="1:29">
      <c r="A100" s="279"/>
      <c r="B100" s="280"/>
      <c r="C100" s="280"/>
      <c r="D100" s="280"/>
      <c r="E100" s="280"/>
      <c r="F100" s="280"/>
      <c r="G100" s="281">
        <v>1</v>
      </c>
      <c r="H100" s="893" t="str">
        <f>+H19</f>
        <v>Asset-based</v>
      </c>
      <c r="I100" s="893"/>
      <c r="J100" s="893"/>
      <c r="K100" s="893"/>
      <c r="L100" s="893"/>
      <c r="M100" s="893"/>
      <c r="N100" s="282">
        <f t="shared" ref="N100:U100" si="54">+SUM(N101:N103)</f>
        <v>76246.475838191138</v>
      </c>
      <c r="O100" s="281">
        <f t="shared" si="54"/>
        <v>78009.898153455579</v>
      </c>
      <c r="P100" s="281">
        <f t="shared" si="54"/>
        <v>87336.799840919135</v>
      </c>
      <c r="Q100" s="281">
        <f t="shared" si="54"/>
        <v>93247.031850916566</v>
      </c>
      <c r="R100" s="282">
        <f t="shared" si="54"/>
        <v>95359.994288721209</v>
      </c>
      <c r="S100" s="420">
        <f t="shared" si="54"/>
        <v>100677.2724867955</v>
      </c>
      <c r="T100" s="420">
        <f t="shared" si="54"/>
        <v>-4529.5988552035524</v>
      </c>
      <c r="U100" s="420">
        <f t="shared" si="54"/>
        <v>0</v>
      </c>
      <c r="AB100" s="253"/>
      <c r="AC100" s="253"/>
    </row>
    <row r="101" spans="1:29">
      <c r="A101" s="283" t="s">
        <v>218</v>
      </c>
      <c r="B101" s="283" t="s">
        <v>50</v>
      </c>
      <c r="C101" s="283" t="s">
        <v>254</v>
      </c>
      <c r="D101" s="283" t="s">
        <v>136</v>
      </c>
      <c r="E101" s="283" t="s">
        <v>149</v>
      </c>
      <c r="F101" s="283"/>
      <c r="G101" s="284">
        <v>1</v>
      </c>
      <c r="H101" s="894" t="s">
        <v>256</v>
      </c>
      <c r="I101" s="145" t="str">
        <f>+RIGHT(D101,LEN(D101)-5)</f>
        <v>Asset Based Expense</v>
      </c>
      <c r="J101" s="145"/>
      <c r="K101" s="145"/>
      <c r="L101" s="145"/>
      <c r="M101" s="145"/>
      <c r="N101" s="285">
        <v>51200.2811</v>
      </c>
      <c r="O101" s="284">
        <v>51192.036199999995</v>
      </c>
      <c r="P101" s="284">
        <v>57240.88046</v>
      </c>
      <c r="Q101" s="284">
        <v>60285.407220000001</v>
      </c>
      <c r="R101" s="285">
        <v>61702.086909999998</v>
      </c>
      <c r="S101" s="421">
        <v>64937.234089999998</v>
      </c>
      <c r="T101" s="421">
        <v>-920.94155999999998</v>
      </c>
      <c r="U101" s="421">
        <v>0</v>
      </c>
      <c r="AB101" s="253">
        <f t="shared" ref="AB101:AB102" si="55">+SUMIF($N$59:$Q$59,"Yes",$N101:$Q101)</f>
        <v>102392.3173</v>
      </c>
      <c r="AC101" s="253">
        <f t="shared" ref="AC101:AC102" si="56">+SUMIF($R$59:$U$59,"Yes",$R101:$U101)</f>
        <v>126639.321</v>
      </c>
    </row>
    <row r="102" spans="1:29">
      <c r="A102" s="283" t="s">
        <v>218</v>
      </c>
      <c r="B102" s="283" t="s">
        <v>50</v>
      </c>
      <c r="C102" s="283" t="s">
        <v>255</v>
      </c>
      <c r="D102" s="283" t="s">
        <v>136</v>
      </c>
      <c r="E102" s="283" t="s">
        <v>149</v>
      </c>
      <c r="F102" s="283"/>
      <c r="G102" s="284">
        <v>1</v>
      </c>
      <c r="H102" s="894" t="s">
        <v>257</v>
      </c>
      <c r="I102" s="145" t="str">
        <f>+RIGHT(D102,LEN(D102)-5)</f>
        <v>Asset Based Expense</v>
      </c>
      <c r="J102" s="145"/>
      <c r="K102" s="145"/>
      <c r="L102" s="145"/>
      <c r="M102" s="145"/>
      <c r="N102" s="285">
        <v>25046.194738191138</v>
      </c>
      <c r="O102" s="284">
        <v>26817.861953455584</v>
      </c>
      <c r="P102" s="284">
        <v>30095.919380919131</v>
      </c>
      <c r="Q102" s="284">
        <v>32961.624630916565</v>
      </c>
      <c r="R102" s="285">
        <v>33657.907378721204</v>
      </c>
      <c r="S102" s="421">
        <v>35740.038396795499</v>
      </c>
      <c r="T102" s="421">
        <v>-3608.6572952035526</v>
      </c>
      <c r="U102" s="421">
        <v>0</v>
      </c>
      <c r="AB102" s="253">
        <f t="shared" si="55"/>
        <v>51864.056691646721</v>
      </c>
      <c r="AC102" s="253">
        <f t="shared" si="56"/>
        <v>69397.94577551671</v>
      </c>
    </row>
    <row r="103" spans="1:29">
      <c r="G103" s="253"/>
      <c r="N103" s="250"/>
      <c r="R103" s="250"/>
      <c r="AB103" s="253"/>
      <c r="AC103" s="253"/>
    </row>
    <row r="104" spans="1:29">
      <c r="A104" s="279"/>
      <c r="B104" s="280"/>
      <c r="C104" s="280"/>
      <c r="D104" s="280"/>
      <c r="E104" s="280"/>
      <c r="F104" s="280"/>
      <c r="G104" s="281">
        <v>1</v>
      </c>
      <c r="H104" s="893" t="str">
        <f>+I105</f>
        <v>Corporate &amp; Other Product Expense</v>
      </c>
      <c r="I104" s="893"/>
      <c r="J104" s="893"/>
      <c r="K104" s="893"/>
      <c r="L104" s="893"/>
      <c r="M104" s="893"/>
      <c r="N104" s="282">
        <f t="shared" ref="N104:U104" si="57">+SUM(N105:N106)</f>
        <v>0</v>
      </c>
      <c r="O104" s="281">
        <f t="shared" si="57"/>
        <v>0</v>
      </c>
      <c r="P104" s="281">
        <f t="shared" si="57"/>
        <v>0</v>
      </c>
      <c r="Q104" s="281">
        <f t="shared" si="57"/>
        <v>0</v>
      </c>
      <c r="R104" s="282">
        <f t="shared" si="57"/>
        <v>0</v>
      </c>
      <c r="S104" s="420">
        <f t="shared" si="57"/>
        <v>0</v>
      </c>
      <c r="T104" s="420">
        <f t="shared" si="57"/>
        <v>0</v>
      </c>
      <c r="U104" s="420">
        <f t="shared" si="57"/>
        <v>0</v>
      </c>
      <c r="AB104" s="253"/>
      <c r="AC104" s="253"/>
    </row>
    <row r="105" spans="1:29">
      <c r="A105" s="283" t="s">
        <v>218</v>
      </c>
      <c r="B105" s="283" t="s">
        <v>50</v>
      </c>
      <c r="C105" s="283" t="s">
        <v>61</v>
      </c>
      <c r="D105" s="283" t="s">
        <v>137</v>
      </c>
      <c r="E105" s="283" t="s">
        <v>149</v>
      </c>
      <c r="F105" s="283"/>
      <c r="G105" s="284">
        <v>1</v>
      </c>
      <c r="H105" s="894"/>
      <c r="I105" s="145" t="str">
        <f>+RIGHT(D105,LEN(D105)-5)</f>
        <v>Corporate &amp; Other Product Expense</v>
      </c>
      <c r="J105" s="145"/>
      <c r="K105" s="145"/>
      <c r="L105" s="145"/>
      <c r="M105" s="145"/>
      <c r="N105" s="285">
        <v>0</v>
      </c>
      <c r="O105" s="284">
        <v>0</v>
      </c>
      <c r="P105" s="284">
        <v>0</v>
      </c>
      <c r="Q105" s="284">
        <v>0</v>
      </c>
      <c r="R105" s="285">
        <v>0</v>
      </c>
      <c r="S105" s="421">
        <v>0</v>
      </c>
      <c r="T105" s="421">
        <v>0</v>
      </c>
      <c r="U105" s="421">
        <v>0</v>
      </c>
      <c r="AB105" s="253"/>
      <c r="AC105" s="253"/>
    </row>
    <row r="106" spans="1:29">
      <c r="G106" s="253"/>
      <c r="N106" s="250"/>
      <c r="R106" s="250"/>
      <c r="AB106" s="253"/>
      <c r="AC106" s="253"/>
    </row>
    <row r="107" spans="1:29">
      <c r="A107" s="279"/>
      <c r="B107" s="280"/>
      <c r="C107" s="280"/>
      <c r="D107" s="280"/>
      <c r="E107" s="280"/>
      <c r="F107" s="280"/>
      <c r="G107" s="281">
        <v>1</v>
      </c>
      <c r="H107" s="893" t="s">
        <v>259</v>
      </c>
      <c r="I107" s="893"/>
      <c r="J107" s="893"/>
      <c r="K107" s="893"/>
      <c r="L107" s="893"/>
      <c r="M107" s="893"/>
      <c r="N107" s="282">
        <f t="shared" ref="N107:U107" si="58">+SUM(N108:N109)</f>
        <v>0</v>
      </c>
      <c r="O107" s="281">
        <f t="shared" si="58"/>
        <v>0</v>
      </c>
      <c r="P107" s="281">
        <f t="shared" si="58"/>
        <v>0</v>
      </c>
      <c r="Q107" s="281">
        <f t="shared" si="58"/>
        <v>0</v>
      </c>
      <c r="R107" s="282">
        <f t="shared" si="58"/>
        <v>0</v>
      </c>
      <c r="S107" s="420">
        <f t="shared" si="58"/>
        <v>0</v>
      </c>
      <c r="T107" s="420">
        <f t="shared" si="58"/>
        <v>0</v>
      </c>
      <c r="U107" s="420">
        <f t="shared" si="58"/>
        <v>0</v>
      </c>
      <c r="AB107" s="253"/>
      <c r="AC107" s="253"/>
    </row>
    <row r="108" spans="1:29">
      <c r="A108" s="283" t="s">
        <v>218</v>
      </c>
      <c r="B108" s="283" t="s">
        <v>50</v>
      </c>
      <c r="C108" s="283" t="s">
        <v>61</v>
      </c>
      <c r="D108" s="283" t="s">
        <v>138</v>
      </c>
      <c r="E108" s="283" t="s">
        <v>149</v>
      </c>
      <c r="F108" s="283"/>
      <c r="G108" s="284">
        <v>1</v>
      </c>
      <c r="H108" s="894"/>
      <c r="I108" s="145" t="str">
        <f>+RIGHT(D108,LEN(D108)-5)</f>
        <v>Net Interest</v>
      </c>
      <c r="J108" s="145"/>
      <c r="K108" s="145"/>
      <c r="L108" s="145"/>
      <c r="M108" s="145"/>
      <c r="N108" s="285">
        <v>0</v>
      </c>
      <c r="O108" s="284">
        <v>0</v>
      </c>
      <c r="P108" s="284">
        <v>0</v>
      </c>
      <c r="Q108" s="284">
        <v>0</v>
      </c>
      <c r="R108" s="285">
        <v>0</v>
      </c>
      <c r="S108" s="421">
        <v>0</v>
      </c>
      <c r="T108" s="421">
        <v>0</v>
      </c>
      <c r="U108" s="421">
        <v>0</v>
      </c>
      <c r="AB108" s="253"/>
      <c r="AC108" s="253"/>
    </row>
    <row r="109" spans="1:29">
      <c r="G109" s="253"/>
      <c r="N109" s="250"/>
      <c r="R109" s="250"/>
      <c r="AB109" s="253"/>
      <c r="AC109" s="253"/>
    </row>
    <row r="110" spans="1:29">
      <c r="A110" s="279"/>
      <c r="B110" s="280"/>
      <c r="C110" s="280"/>
      <c r="D110" s="280"/>
      <c r="E110" s="280"/>
      <c r="F110" s="280"/>
      <c r="G110" s="281">
        <v>1</v>
      </c>
      <c r="H110" s="893" t="str">
        <f>+H20</f>
        <v>Other operating expenses</v>
      </c>
      <c r="I110" s="893"/>
      <c r="J110" s="893"/>
      <c r="K110" s="893"/>
      <c r="L110" s="893"/>
      <c r="M110" s="893"/>
      <c r="N110" s="282">
        <f t="shared" ref="N110:U110" si="59">+SUM(N111:N112)</f>
        <v>51414.085738853566</v>
      </c>
      <c r="O110" s="281">
        <f t="shared" si="59"/>
        <v>53095.650267709898</v>
      </c>
      <c r="P110" s="281">
        <f t="shared" si="59"/>
        <v>49522.154362542751</v>
      </c>
      <c r="Q110" s="281">
        <f t="shared" si="59"/>
        <v>52070.739101579318</v>
      </c>
      <c r="R110" s="282">
        <f t="shared" si="59"/>
        <v>54426.655845532252</v>
      </c>
      <c r="S110" s="420">
        <f t="shared" si="59"/>
        <v>55055.911856077764</v>
      </c>
      <c r="T110" s="420">
        <f t="shared" si="59"/>
        <v>-1593.9874781579776</v>
      </c>
      <c r="U110" s="420">
        <f t="shared" si="59"/>
        <v>0</v>
      </c>
      <c r="AB110" s="253"/>
      <c r="AC110" s="253"/>
    </row>
    <row r="111" spans="1:29">
      <c r="A111" s="283" t="s">
        <v>218</v>
      </c>
      <c r="B111" s="283" t="s">
        <v>50</v>
      </c>
      <c r="C111" s="283" t="s">
        <v>61</v>
      </c>
      <c r="D111" s="283" t="s">
        <v>131</v>
      </c>
      <c r="E111" s="283" t="s">
        <v>149</v>
      </c>
      <c r="F111" s="283"/>
      <c r="G111" s="284">
        <v>1</v>
      </c>
      <c r="H111" s="894"/>
      <c r="I111" s="145" t="str">
        <f>+RIGHT(D111,LEN(D111)-5)</f>
        <v>General Expenses Net of Allowances</v>
      </c>
      <c r="J111" s="145"/>
      <c r="K111" s="145"/>
      <c r="L111" s="145"/>
      <c r="M111" s="145"/>
      <c r="N111" s="285">
        <v>51414.085738853566</v>
      </c>
      <c r="O111" s="284">
        <v>53095.650267709898</v>
      </c>
      <c r="P111" s="284">
        <v>49522.154362542751</v>
      </c>
      <c r="Q111" s="284">
        <v>52070.739101579318</v>
      </c>
      <c r="R111" s="285">
        <v>54426.655845532252</v>
      </c>
      <c r="S111" s="421">
        <v>55055.911856077764</v>
      </c>
      <c r="T111" s="421">
        <v>-1593.9874781579776</v>
      </c>
      <c r="U111" s="421">
        <v>0</v>
      </c>
      <c r="AB111" s="253"/>
      <c r="AC111" s="253"/>
    </row>
    <row r="112" spans="1:29">
      <c r="G112" s="253"/>
      <c r="N112" s="250"/>
      <c r="R112" s="250"/>
      <c r="AB112" s="253"/>
      <c r="AC112" s="253"/>
    </row>
    <row r="113" spans="1:29">
      <c r="G113" s="253"/>
      <c r="N113" s="250"/>
      <c r="R113" s="250"/>
      <c r="AB113" s="253"/>
      <c r="AC113" s="253"/>
    </row>
    <row r="114" spans="1:29">
      <c r="A114" s="279"/>
      <c r="B114" s="280"/>
      <c r="C114" s="280"/>
      <c r="D114" s="280"/>
      <c r="E114" s="280"/>
      <c r="F114" s="280"/>
      <c r="G114" s="281">
        <v>1</v>
      </c>
      <c r="H114" s="893" t="s">
        <v>262</v>
      </c>
      <c r="I114" s="893"/>
      <c r="J114" s="893"/>
      <c r="K114" s="893"/>
      <c r="L114" s="893"/>
      <c r="M114" s="893"/>
      <c r="N114" s="282">
        <f t="shared" ref="N114:U114" si="60">+SUM(N115:N117)</f>
        <v>12410.115379999999</v>
      </c>
      <c r="O114" s="281">
        <f t="shared" si="60"/>
        <v>11015.12257</v>
      </c>
      <c r="P114" s="281">
        <f t="shared" si="60"/>
        <v>10341.100109999999</v>
      </c>
      <c r="Q114" s="281">
        <f t="shared" si="60"/>
        <v>10543.13341</v>
      </c>
      <c r="R114" s="282">
        <f t="shared" si="60"/>
        <v>11120.62585</v>
      </c>
      <c r="S114" s="420">
        <f t="shared" si="60"/>
        <v>10553.2407</v>
      </c>
      <c r="T114" s="420">
        <f t="shared" si="60"/>
        <v>-2022.5241799999999</v>
      </c>
      <c r="U114" s="420">
        <f t="shared" si="60"/>
        <v>0</v>
      </c>
      <c r="AB114" s="253"/>
      <c r="AC114" s="253"/>
    </row>
    <row r="115" spans="1:29">
      <c r="A115" s="283" t="s">
        <v>218</v>
      </c>
      <c r="B115" s="283" t="s">
        <v>50</v>
      </c>
      <c r="C115" s="283" t="s">
        <v>61</v>
      </c>
      <c r="D115" s="283" t="s">
        <v>263</v>
      </c>
      <c r="E115" s="283" t="s">
        <v>149</v>
      </c>
      <c r="F115" s="283"/>
      <c r="G115" s="284">
        <v>1</v>
      </c>
      <c r="H115" s="894"/>
      <c r="I115" s="145" t="str">
        <f>+RIGHT(D115,LEN(D115)-5)</f>
        <v>OOP Expenses</v>
      </c>
      <c r="J115" s="145"/>
      <c r="K115" s="145"/>
      <c r="L115" s="145"/>
      <c r="M115" s="145"/>
      <c r="N115" s="285">
        <v>5201.9384399999999</v>
      </c>
      <c r="O115" s="284">
        <v>3766.8079200000002</v>
      </c>
      <c r="P115" s="284">
        <v>3050.2227600000001</v>
      </c>
      <c r="Q115" s="284">
        <v>3194.3557700000001</v>
      </c>
      <c r="R115" s="285">
        <v>3738.56682</v>
      </c>
      <c r="S115" s="421">
        <v>3114.78008</v>
      </c>
      <c r="T115" s="421">
        <v>-2022.5241799999999</v>
      </c>
      <c r="U115" s="421">
        <v>0</v>
      </c>
      <c r="AB115" s="253"/>
      <c r="AC115" s="253"/>
    </row>
    <row r="116" spans="1:29">
      <c r="A116" s="283" t="s">
        <v>218</v>
      </c>
      <c r="B116" s="283" t="s">
        <v>50</v>
      </c>
      <c r="C116" s="283" t="s">
        <v>61</v>
      </c>
      <c r="D116" s="283" t="s">
        <v>264</v>
      </c>
      <c r="E116" s="283" t="s">
        <v>149</v>
      </c>
      <c r="F116" s="283"/>
      <c r="G116" s="284">
        <v>1</v>
      </c>
      <c r="H116" s="894"/>
      <c r="I116" s="145" t="str">
        <f>+RIGHT(D116,LEN(D116)-5)</f>
        <v>US Account Based Expenses</v>
      </c>
      <c r="J116" s="145"/>
      <c r="K116" s="145"/>
      <c r="L116" s="145"/>
      <c r="M116" s="145"/>
      <c r="N116" s="285">
        <v>7208.1769400000003</v>
      </c>
      <c r="O116" s="284">
        <v>7248.3146500000003</v>
      </c>
      <c r="P116" s="284">
        <v>7290.8773499999998</v>
      </c>
      <c r="Q116" s="284">
        <v>7348.7776400000002</v>
      </c>
      <c r="R116" s="285">
        <v>7382.0590300000003</v>
      </c>
      <c r="S116" s="421">
        <v>7438.4606199999998</v>
      </c>
      <c r="T116" s="421">
        <v>0</v>
      </c>
      <c r="U116" s="421">
        <v>0</v>
      </c>
      <c r="AB116" s="253"/>
      <c r="AC116" s="253"/>
    </row>
    <row r="117" spans="1:29">
      <c r="G117" s="253"/>
      <c r="N117" s="250"/>
      <c r="R117" s="250"/>
      <c r="AB117" s="253"/>
      <c r="AC117" s="253"/>
    </row>
    <row r="118" spans="1:29">
      <c r="A118" s="279"/>
      <c r="B118" s="280"/>
      <c r="C118" s="280"/>
      <c r="D118" s="280"/>
      <c r="E118" s="280"/>
      <c r="F118" s="280"/>
      <c r="G118" s="281">
        <v>1</v>
      </c>
      <c r="H118" s="893" t="s">
        <v>260</v>
      </c>
      <c r="I118" s="893"/>
      <c r="J118" s="893"/>
      <c r="K118" s="893"/>
      <c r="L118" s="893"/>
      <c r="M118" s="893"/>
      <c r="N118" s="282">
        <f t="shared" ref="N118:U118" si="61">+SUM(N119:N120)</f>
        <v>7389.8698700000004</v>
      </c>
      <c r="O118" s="281">
        <f t="shared" si="61"/>
        <v>7823.8699399999996</v>
      </c>
      <c r="P118" s="281">
        <f t="shared" si="61"/>
        <v>8507.8487100000002</v>
      </c>
      <c r="Q118" s="281">
        <f t="shared" si="61"/>
        <v>9083.4693499999994</v>
      </c>
      <c r="R118" s="282">
        <f t="shared" si="61"/>
        <v>9688.0013299999991</v>
      </c>
      <c r="S118" s="420">
        <f t="shared" si="61"/>
        <v>10909.904780000001</v>
      </c>
      <c r="T118" s="420">
        <f t="shared" si="61"/>
        <v>4.2565900000000001</v>
      </c>
      <c r="U118" s="420">
        <f t="shared" si="61"/>
        <v>0</v>
      </c>
      <c r="AB118" s="253">
        <f t="shared" ref="AB118" si="62">+SUMIF($N$59:$Q$59,"Yes",$N118:$Q118)</f>
        <v>15213.739809999999</v>
      </c>
      <c r="AC118" s="253">
        <f t="shared" ref="AC118" si="63">+SUMIF($R$59:$U$59,"Yes",$R118:$U118)</f>
        <v>20597.90611</v>
      </c>
    </row>
    <row r="119" spans="1:29">
      <c r="A119" s="283" t="s">
        <v>218</v>
      </c>
      <c r="B119" s="283" t="s">
        <v>50</v>
      </c>
      <c r="C119" s="283" t="s">
        <v>61</v>
      </c>
      <c r="D119" s="283" t="s">
        <v>261</v>
      </c>
      <c r="E119" s="283" t="s">
        <v>149</v>
      </c>
      <c r="F119" s="283"/>
      <c r="G119" s="284">
        <v>1</v>
      </c>
      <c r="H119" s="894"/>
      <c r="I119" s="145" t="str">
        <f>+RIGHT(D119,LEN(D119)-5)</f>
        <v>Operating Expense - Asset Based</v>
      </c>
      <c r="J119" s="145"/>
      <c r="K119" s="145"/>
      <c r="L119" s="145"/>
      <c r="M119" s="145"/>
      <c r="N119" s="285">
        <v>7389.8698700000004</v>
      </c>
      <c r="O119" s="284">
        <v>7823.8699399999996</v>
      </c>
      <c r="P119" s="284">
        <v>8507.8487100000002</v>
      </c>
      <c r="Q119" s="284">
        <v>9083.4693499999994</v>
      </c>
      <c r="R119" s="285">
        <v>9688.0013299999991</v>
      </c>
      <c r="S119" s="421">
        <v>10909.904780000001</v>
      </c>
      <c r="T119" s="421">
        <v>4.2565900000000001</v>
      </c>
      <c r="U119" s="421">
        <v>0</v>
      </c>
      <c r="AB119" s="253"/>
      <c r="AC119" s="253"/>
    </row>
    <row r="120" spans="1:29">
      <c r="G120" s="253"/>
      <c r="N120" s="250"/>
      <c r="R120" s="250"/>
      <c r="AB120" s="253"/>
      <c r="AC120" s="253"/>
    </row>
    <row r="121" spans="1:29">
      <c r="A121" s="279"/>
      <c r="B121" s="280"/>
      <c r="C121" s="280"/>
      <c r="D121" s="280"/>
      <c r="E121" s="280"/>
      <c r="F121" s="280"/>
      <c r="G121" s="281">
        <v>1</v>
      </c>
      <c r="H121" s="893" t="s">
        <v>266</v>
      </c>
      <c r="I121" s="893"/>
      <c r="J121" s="893"/>
      <c r="K121" s="893"/>
      <c r="L121" s="893"/>
      <c r="M121" s="893"/>
      <c r="N121" s="282">
        <f t="shared" ref="N121:U121" si="64">+SUM(N122:N123)</f>
        <v>3525.1899629613522</v>
      </c>
      <c r="O121" s="281">
        <f t="shared" si="64"/>
        <v>3580.5161196928702</v>
      </c>
      <c r="P121" s="281">
        <f t="shared" si="64"/>
        <v>3776.8408162421269</v>
      </c>
      <c r="Q121" s="281">
        <f t="shared" si="64"/>
        <v>3719.9971443340773</v>
      </c>
      <c r="R121" s="282">
        <f t="shared" si="64"/>
        <v>3598.9614601679664</v>
      </c>
      <c r="S121" s="420">
        <f t="shared" si="64"/>
        <v>3583.1480180902636</v>
      </c>
      <c r="T121" s="420">
        <f t="shared" si="64"/>
        <v>-1166.7702727870217</v>
      </c>
      <c r="U121" s="420">
        <f t="shared" si="64"/>
        <v>0</v>
      </c>
      <c r="AB121" s="253">
        <f t="shared" ref="AB121" si="65">+SUMIF($N$59:$Q$59,"Yes",$N121:$Q121)</f>
        <v>7105.706082654222</v>
      </c>
      <c r="AC121" s="253">
        <f t="shared" ref="AC121" si="66">+SUMIF($R$59:$U$59,"Yes",$R121:$U121)</f>
        <v>7182.1094782582295</v>
      </c>
    </row>
    <row r="122" spans="1:29">
      <c r="A122" s="283" t="s">
        <v>218</v>
      </c>
      <c r="B122" s="283" t="s">
        <v>50</v>
      </c>
      <c r="C122" s="283" t="s">
        <v>61</v>
      </c>
      <c r="D122" s="283" t="s">
        <v>265</v>
      </c>
      <c r="E122" s="283" t="s">
        <v>149</v>
      </c>
      <c r="F122" s="283" t="s">
        <v>267</v>
      </c>
      <c r="G122" s="284">
        <v>1</v>
      </c>
      <c r="H122" s="894"/>
      <c r="I122" s="145" t="str">
        <f>+F122</f>
        <v>Fund Administration Fee</v>
      </c>
      <c r="J122" s="145"/>
      <c r="K122" s="145"/>
      <c r="L122" s="145"/>
      <c r="M122" s="145"/>
      <c r="N122" s="285">
        <v>3525.1899629613522</v>
      </c>
      <c r="O122" s="284">
        <v>3580.5161196928702</v>
      </c>
      <c r="P122" s="284">
        <v>3776.8408162421269</v>
      </c>
      <c r="Q122" s="284">
        <v>3719.9971443340773</v>
      </c>
      <c r="R122" s="285">
        <v>3598.9614601679664</v>
      </c>
      <c r="S122" s="421">
        <v>3583.1480180902636</v>
      </c>
      <c r="T122" s="421">
        <v>-1166.7702727870217</v>
      </c>
      <c r="U122" s="421">
        <v>0</v>
      </c>
      <c r="AB122" s="253"/>
      <c r="AC122" s="253"/>
    </row>
    <row r="123" spans="1:29">
      <c r="G123" s="253"/>
      <c r="N123" s="250"/>
      <c r="R123" s="250"/>
      <c r="AB123" s="253"/>
      <c r="AC123" s="253"/>
    </row>
    <row r="124" spans="1:29">
      <c r="G124" s="253"/>
      <c r="H124" s="896" t="s">
        <v>268</v>
      </c>
      <c r="N124" s="250"/>
      <c r="R124" s="250"/>
      <c r="AB124" s="253"/>
      <c r="AC124" s="253"/>
    </row>
    <row r="125" spans="1:29">
      <c r="A125" s="279"/>
      <c r="B125" s="280"/>
      <c r="C125" s="280"/>
      <c r="D125" s="280"/>
      <c r="E125" s="280"/>
      <c r="F125" s="280"/>
      <c r="G125" s="281">
        <v>1</v>
      </c>
      <c r="H125" s="893" t="str">
        <f>+H26</f>
        <v>Fees paid based on client asset values (1)</v>
      </c>
      <c r="I125" s="893"/>
      <c r="J125" s="893"/>
      <c r="K125" s="893"/>
      <c r="L125" s="893"/>
      <c r="M125" s="893"/>
      <c r="N125" s="282">
        <f t="shared" ref="N125:U125" si="67">+SUM(N126:N128)</f>
        <v>10915.059832961353</v>
      </c>
      <c r="O125" s="281">
        <f t="shared" si="67"/>
        <v>11404.38605969287</v>
      </c>
      <c r="P125" s="281">
        <f t="shared" si="67"/>
        <v>12284.689526242128</v>
      </c>
      <c r="Q125" s="281">
        <f t="shared" si="67"/>
        <v>12803.466494334076</v>
      </c>
      <c r="R125" s="282">
        <f t="shared" si="67"/>
        <v>13286.962790167965</v>
      </c>
      <c r="S125" s="420">
        <f t="shared" si="67"/>
        <v>14493.052798090264</v>
      </c>
      <c r="T125" s="420">
        <f t="shared" si="67"/>
        <v>-1162.5136827870217</v>
      </c>
      <c r="U125" s="420">
        <f t="shared" si="67"/>
        <v>0</v>
      </c>
      <c r="AB125" s="253"/>
      <c r="AC125" s="253"/>
    </row>
    <row r="126" spans="1:29">
      <c r="G126" s="253">
        <v>1</v>
      </c>
      <c r="I126" s="146" t="str">
        <f>+H118</f>
        <v>US Asset-based comm exp</v>
      </c>
      <c r="N126" s="297">
        <f t="shared" ref="N126:U126" si="68">+N118*$G$126</f>
        <v>7389.8698700000004</v>
      </c>
      <c r="O126" s="253">
        <f t="shared" si="68"/>
        <v>7823.8699399999996</v>
      </c>
      <c r="P126" s="253">
        <f t="shared" si="68"/>
        <v>8507.8487100000002</v>
      </c>
      <c r="Q126" s="253">
        <f t="shared" si="68"/>
        <v>9083.4693499999994</v>
      </c>
      <c r="R126" s="297">
        <f t="shared" si="68"/>
        <v>9688.0013299999991</v>
      </c>
      <c r="S126" s="423">
        <f t="shared" si="68"/>
        <v>10909.904780000001</v>
      </c>
      <c r="T126" s="423">
        <f t="shared" si="68"/>
        <v>4.2565900000000001</v>
      </c>
      <c r="U126" s="423">
        <f t="shared" si="68"/>
        <v>0</v>
      </c>
      <c r="AB126" s="253"/>
      <c r="AC126" s="253"/>
    </row>
    <row r="127" spans="1:29">
      <c r="G127" s="253">
        <v>1</v>
      </c>
      <c r="I127" s="146" t="str">
        <f>+H121</f>
        <v>CAN Asset-based comm exp</v>
      </c>
      <c r="N127" s="297">
        <f t="shared" ref="N127:U127" si="69">+N122*$G$127</f>
        <v>3525.1899629613522</v>
      </c>
      <c r="O127" s="253">
        <f t="shared" si="69"/>
        <v>3580.5161196928702</v>
      </c>
      <c r="P127" s="253">
        <f t="shared" si="69"/>
        <v>3776.8408162421269</v>
      </c>
      <c r="Q127" s="253">
        <f t="shared" si="69"/>
        <v>3719.9971443340773</v>
      </c>
      <c r="R127" s="297">
        <f t="shared" si="69"/>
        <v>3598.9614601679664</v>
      </c>
      <c r="S127" s="423">
        <f t="shared" si="69"/>
        <v>3583.1480180902636</v>
      </c>
      <c r="T127" s="423">
        <f t="shared" si="69"/>
        <v>-1166.7702727870217</v>
      </c>
      <c r="U127" s="423">
        <f t="shared" si="69"/>
        <v>0</v>
      </c>
      <c r="AB127" s="253"/>
      <c r="AC127" s="253"/>
    </row>
    <row r="128" spans="1:29">
      <c r="G128" s="253"/>
      <c r="N128" s="297"/>
      <c r="O128" s="253"/>
      <c r="P128" s="253"/>
      <c r="Q128" s="253"/>
      <c r="R128" s="297"/>
      <c r="S128" s="423"/>
      <c r="T128" s="423"/>
      <c r="U128" s="423"/>
      <c r="AB128" s="253"/>
      <c r="AC128" s="253"/>
    </row>
    <row r="129" spans="1:29">
      <c r="A129" s="279"/>
      <c r="B129" s="280"/>
      <c r="C129" s="280"/>
      <c r="D129" s="280"/>
      <c r="E129" s="280"/>
      <c r="F129" s="280"/>
      <c r="G129" s="281">
        <v>1</v>
      </c>
      <c r="H129" s="893" t="str">
        <f>+H27</f>
        <v>Fees paid based on fee-generating positions (2)</v>
      </c>
      <c r="I129" s="893"/>
      <c r="J129" s="893"/>
      <c r="K129" s="893"/>
      <c r="L129" s="893"/>
      <c r="M129" s="893"/>
      <c r="N129" s="282">
        <f t="shared" ref="N129:U129" si="70">+SUM(N130:N131)</f>
        <v>12410.115379999999</v>
      </c>
      <c r="O129" s="281">
        <f t="shared" si="70"/>
        <v>11015.12257</v>
      </c>
      <c r="P129" s="281">
        <f t="shared" si="70"/>
        <v>10341.100109999999</v>
      </c>
      <c r="Q129" s="281">
        <f t="shared" si="70"/>
        <v>10543.13341</v>
      </c>
      <c r="R129" s="282">
        <f t="shared" si="70"/>
        <v>11120.62585</v>
      </c>
      <c r="S129" s="420">
        <f t="shared" si="70"/>
        <v>10553.2407</v>
      </c>
      <c r="T129" s="420">
        <f t="shared" si="70"/>
        <v>-2022.5241799999999</v>
      </c>
      <c r="U129" s="420">
        <f t="shared" si="70"/>
        <v>0</v>
      </c>
      <c r="AB129" s="253"/>
      <c r="AC129" s="253"/>
    </row>
    <row r="130" spans="1:29">
      <c r="G130" s="325">
        <v>1</v>
      </c>
      <c r="I130" s="146" t="str">
        <f>+H114</f>
        <v>US Account-based comm exp</v>
      </c>
      <c r="N130" s="297">
        <f t="shared" ref="N130:U130" si="71">+N114*$G$130</f>
        <v>12410.115379999999</v>
      </c>
      <c r="O130" s="253">
        <f t="shared" si="71"/>
        <v>11015.12257</v>
      </c>
      <c r="P130" s="253">
        <f t="shared" si="71"/>
        <v>10341.100109999999</v>
      </c>
      <c r="Q130" s="253">
        <f t="shared" si="71"/>
        <v>10543.13341</v>
      </c>
      <c r="R130" s="297">
        <f t="shared" si="71"/>
        <v>11120.62585</v>
      </c>
      <c r="S130" s="423">
        <f t="shared" si="71"/>
        <v>10553.2407</v>
      </c>
      <c r="T130" s="423">
        <f t="shared" si="71"/>
        <v>-2022.5241799999999</v>
      </c>
      <c r="U130" s="423">
        <f t="shared" si="71"/>
        <v>0</v>
      </c>
      <c r="AB130" s="253"/>
      <c r="AC130" s="253"/>
    </row>
    <row r="131" spans="1:29">
      <c r="G131" s="253"/>
      <c r="N131" s="250"/>
      <c r="R131" s="250"/>
      <c r="AB131" s="253"/>
      <c r="AC131" s="253"/>
    </row>
    <row r="132" spans="1:29">
      <c r="G132" s="253"/>
      <c r="N132" s="250"/>
      <c r="R132" s="250"/>
      <c r="AB132" s="253"/>
      <c r="AC132" s="253"/>
    </row>
    <row r="133" spans="1:29">
      <c r="A133" s="283" t="s">
        <v>218</v>
      </c>
      <c r="B133" s="283" t="s">
        <v>50</v>
      </c>
      <c r="C133" s="283" t="s">
        <v>61</v>
      </c>
      <c r="D133" s="283" t="s">
        <v>124</v>
      </c>
      <c r="E133" s="283" t="s">
        <v>149</v>
      </c>
      <c r="F133" s="283"/>
      <c r="G133" s="284">
        <v>1</v>
      </c>
      <c r="H133" s="894"/>
      <c r="I133" s="145" t="str">
        <f>+RIGHT(D133,LEN(D133)-5)</f>
        <v>Account Based Revenue</v>
      </c>
      <c r="J133" s="145"/>
      <c r="K133" s="145"/>
      <c r="L133" s="145"/>
      <c r="M133" s="145"/>
      <c r="N133" s="285">
        <v>-24194.529030000002</v>
      </c>
      <c r="O133" s="284">
        <v>-24393.52131</v>
      </c>
      <c r="P133" s="284">
        <v>-24420.185280000002</v>
      </c>
      <c r="Q133" s="284">
        <v>-24347.207630000001</v>
      </c>
      <c r="R133" s="285">
        <v>-23618.55299</v>
      </c>
      <c r="S133" s="421">
        <v>-24118.351420000003</v>
      </c>
      <c r="T133" s="421">
        <v>-178.91892000000001</v>
      </c>
      <c r="U133" s="421">
        <v>0</v>
      </c>
      <c r="AB133" s="253"/>
      <c r="AC133" s="253"/>
    </row>
    <row r="134" spans="1:29">
      <c r="A134" s="283" t="s">
        <v>218</v>
      </c>
      <c r="B134" s="283" t="s">
        <v>50</v>
      </c>
      <c r="C134" s="283" t="s">
        <v>61</v>
      </c>
      <c r="D134" s="283" t="s">
        <v>123</v>
      </c>
      <c r="E134" s="283" t="s">
        <v>149</v>
      </c>
      <c r="F134" s="283"/>
      <c r="G134" s="284">
        <v>1</v>
      </c>
      <c r="H134" s="894"/>
      <c r="I134" s="145" t="str">
        <f>+RIGHT(D134,LEN(D134)-5)</f>
        <v>Asset Based Revenue</v>
      </c>
      <c r="J134" s="145"/>
      <c r="K134" s="145"/>
      <c r="L134" s="145"/>
      <c r="M134" s="145"/>
      <c r="N134" s="285">
        <v>-152014.43639187611</v>
      </c>
      <c r="O134" s="284">
        <v>-154734.58171857041</v>
      </c>
      <c r="P134" s="284">
        <v>-172286.48846890862</v>
      </c>
      <c r="Q134" s="284">
        <v>-181407.47323064195</v>
      </c>
      <c r="R134" s="285">
        <v>-187366.4282321558</v>
      </c>
      <c r="S134" s="421">
        <v>-197598.41666312199</v>
      </c>
      <c r="T134" s="421">
        <v>6790.1259939764068</v>
      </c>
      <c r="U134" s="421">
        <v>0</v>
      </c>
      <c r="AB134" s="253"/>
      <c r="AC134" s="253"/>
    </row>
    <row r="135" spans="1:29">
      <c r="A135" s="283" t="s">
        <v>218</v>
      </c>
      <c r="B135" s="283" t="s">
        <v>50</v>
      </c>
      <c r="C135" s="283" t="s">
        <v>61</v>
      </c>
      <c r="D135" s="283" t="s">
        <v>125</v>
      </c>
      <c r="E135" s="283" t="s">
        <v>149</v>
      </c>
      <c r="F135" s="283"/>
      <c r="G135" s="284">
        <v>1</v>
      </c>
      <c r="H135" s="894"/>
      <c r="I135" s="145" t="str">
        <f>+RIGHT(D135,LEN(D135)-5)</f>
        <v>Other Distributive Revenue</v>
      </c>
      <c r="J135" s="145"/>
      <c r="K135" s="145"/>
      <c r="L135" s="145"/>
      <c r="M135" s="145"/>
      <c r="N135" s="285">
        <v>0</v>
      </c>
      <c r="O135" s="284">
        <v>0</v>
      </c>
      <c r="P135" s="284">
        <v>0</v>
      </c>
      <c r="Q135" s="284">
        <v>0</v>
      </c>
      <c r="R135" s="285">
        <v>0</v>
      </c>
      <c r="S135" s="421">
        <v>0</v>
      </c>
      <c r="T135" s="421">
        <v>0</v>
      </c>
      <c r="U135" s="421">
        <v>0</v>
      </c>
      <c r="AB135" s="253"/>
      <c r="AC135" s="253"/>
    </row>
    <row r="136" spans="1:29">
      <c r="A136" s="326" t="s">
        <v>218</v>
      </c>
      <c r="B136" s="326" t="s">
        <v>50</v>
      </c>
      <c r="C136" s="326" t="s">
        <v>61</v>
      </c>
      <c r="D136" s="326" t="s">
        <v>122</v>
      </c>
      <c r="E136" s="326" t="s">
        <v>149</v>
      </c>
      <c r="F136" s="326"/>
      <c r="G136" s="327">
        <v>1</v>
      </c>
      <c r="H136" s="900"/>
      <c r="I136" s="901" t="str">
        <f>+RIGHT(D136,LEN(D136)-5)</f>
        <v>Sales Based Revenue</v>
      </c>
      <c r="J136" s="901"/>
      <c r="K136" s="901"/>
      <c r="L136" s="901"/>
      <c r="M136" s="901"/>
      <c r="N136" s="328">
        <v>-111270.37773963185</v>
      </c>
      <c r="O136" s="327">
        <v>-115933.33368721513</v>
      </c>
      <c r="P136" s="327">
        <v>-118637.09193690094</v>
      </c>
      <c r="Q136" s="327">
        <v>-131305.31036238626</v>
      </c>
      <c r="R136" s="328">
        <v>-136355.10899602814</v>
      </c>
      <c r="S136" s="430">
        <v>-135509.10549501408</v>
      </c>
      <c r="T136" s="430">
        <v>-22070.667735354524</v>
      </c>
      <c r="U136" s="430">
        <v>0</v>
      </c>
      <c r="AB136" s="253"/>
      <c r="AC136" s="253"/>
    </row>
    <row r="137" spans="1:29">
      <c r="G137" s="253"/>
      <c r="I137" s="146" t="str">
        <f>+_xlfn.CONCAT(I133, " check")</f>
        <v>Account Based Revenue check</v>
      </c>
      <c r="N137" s="330">
        <f t="shared" ref="N137:U137" si="72">+N133-N74</f>
        <v>0</v>
      </c>
      <c r="O137" s="329">
        <f t="shared" si="72"/>
        <v>0</v>
      </c>
      <c r="P137" s="329">
        <f t="shared" si="72"/>
        <v>0</v>
      </c>
      <c r="Q137" s="329">
        <f t="shared" si="72"/>
        <v>0</v>
      </c>
      <c r="R137" s="330">
        <f t="shared" si="72"/>
        <v>0</v>
      </c>
      <c r="S137" s="431">
        <f t="shared" si="72"/>
        <v>0</v>
      </c>
      <c r="T137" s="431">
        <f t="shared" si="72"/>
        <v>0</v>
      </c>
      <c r="U137" s="431">
        <f t="shared" si="72"/>
        <v>0</v>
      </c>
      <c r="AB137" s="253"/>
      <c r="AC137" s="253"/>
    </row>
    <row r="138" spans="1:29">
      <c r="G138" s="253"/>
      <c r="I138" s="146" t="str">
        <f>+_xlfn.CONCAT(I134, " check")</f>
        <v>Asset Based Revenue check</v>
      </c>
      <c r="N138" s="330">
        <f t="shared" ref="N138:U138" si="73">+N134-N70</f>
        <v>0</v>
      </c>
      <c r="O138" s="329">
        <f t="shared" si="73"/>
        <v>0</v>
      </c>
      <c r="P138" s="329">
        <f t="shared" si="73"/>
        <v>0</v>
      </c>
      <c r="Q138" s="329">
        <f t="shared" si="73"/>
        <v>0</v>
      </c>
      <c r="R138" s="330">
        <f t="shared" si="73"/>
        <v>0</v>
      </c>
      <c r="S138" s="431">
        <f t="shared" si="73"/>
        <v>0</v>
      </c>
      <c r="T138" s="431">
        <f t="shared" si="73"/>
        <v>0</v>
      </c>
      <c r="U138" s="431">
        <f t="shared" si="73"/>
        <v>0</v>
      </c>
      <c r="AB138" s="253"/>
      <c r="AC138" s="253"/>
    </row>
    <row r="139" spans="1:29">
      <c r="G139" s="253"/>
      <c r="I139" s="146" t="str">
        <f>+_xlfn.CONCAT(I135, " check")</f>
        <v>Other Distributive Revenue check</v>
      </c>
      <c r="N139" s="330">
        <f t="shared" ref="N139:U139" si="74">+N135-N79</f>
        <v>0</v>
      </c>
      <c r="O139" s="329">
        <f t="shared" si="74"/>
        <v>0</v>
      </c>
      <c r="P139" s="329">
        <f t="shared" si="74"/>
        <v>0</v>
      </c>
      <c r="Q139" s="329">
        <f t="shared" si="74"/>
        <v>0</v>
      </c>
      <c r="R139" s="330">
        <f t="shared" si="74"/>
        <v>0</v>
      </c>
      <c r="S139" s="431">
        <f t="shared" si="74"/>
        <v>0</v>
      </c>
      <c r="T139" s="431">
        <f t="shared" si="74"/>
        <v>0</v>
      </c>
      <c r="U139" s="431">
        <f t="shared" si="74"/>
        <v>0</v>
      </c>
      <c r="AB139" s="253"/>
      <c r="AC139" s="253"/>
    </row>
    <row r="140" spans="1:29">
      <c r="G140" s="253"/>
      <c r="I140" s="146" t="str">
        <f>+_xlfn.CONCAT(I136, " check")</f>
        <v>Sales Based Revenue check</v>
      </c>
      <c r="N140" s="330">
        <f t="shared" ref="N140:U140" si="75">+N136-N66</f>
        <v>0</v>
      </c>
      <c r="O140" s="329">
        <f t="shared" si="75"/>
        <v>0</v>
      </c>
      <c r="P140" s="329">
        <f t="shared" si="75"/>
        <v>0</v>
      </c>
      <c r="Q140" s="329">
        <f t="shared" si="75"/>
        <v>0</v>
      </c>
      <c r="R140" s="330">
        <f t="shared" si="75"/>
        <v>0</v>
      </c>
      <c r="S140" s="431">
        <f t="shared" si="75"/>
        <v>0</v>
      </c>
      <c r="T140" s="431">
        <f t="shared" si="75"/>
        <v>0</v>
      </c>
      <c r="U140" s="431">
        <f t="shared" si="75"/>
        <v>0</v>
      </c>
      <c r="AB140" s="253"/>
      <c r="AC140" s="253"/>
    </row>
    <row r="141" spans="1:29">
      <c r="G141" s="253"/>
      <c r="N141" s="250"/>
      <c r="R141" s="250"/>
      <c r="AB141" s="253"/>
      <c r="AC141" s="253"/>
    </row>
    <row r="142" spans="1:29">
      <c r="A142" s="283" t="s">
        <v>218</v>
      </c>
      <c r="B142" s="283" t="s">
        <v>50</v>
      </c>
      <c r="C142" s="283" t="s">
        <v>61</v>
      </c>
      <c r="D142" s="283" t="s">
        <v>136</v>
      </c>
      <c r="E142" s="283" t="s">
        <v>149</v>
      </c>
      <c r="F142" s="283"/>
      <c r="G142" s="284">
        <v>1</v>
      </c>
      <c r="H142" s="894"/>
      <c r="I142" s="145" t="str">
        <f>+RIGHT(D142,LEN(D142)-5)</f>
        <v>Asset Based Expense</v>
      </c>
      <c r="J142" s="145"/>
      <c r="K142" s="145"/>
      <c r="L142" s="145"/>
      <c r="M142" s="145"/>
      <c r="N142" s="285">
        <v>76246.475838191138</v>
      </c>
      <c r="O142" s="284">
        <v>78009.898153455579</v>
      </c>
      <c r="P142" s="284">
        <v>87336.79984091912</v>
      </c>
      <c r="Q142" s="284">
        <v>93247.031850916566</v>
      </c>
      <c r="R142" s="285">
        <v>95359.994288721195</v>
      </c>
      <c r="S142" s="421">
        <v>100677.2724867955</v>
      </c>
      <c r="T142" s="421">
        <v>-4529.5988552035524</v>
      </c>
      <c r="U142" s="421">
        <v>0</v>
      </c>
      <c r="AB142" s="253"/>
      <c r="AC142" s="253"/>
    </row>
    <row r="143" spans="1:29">
      <c r="A143" s="283" t="s">
        <v>218</v>
      </c>
      <c r="B143" s="283" t="s">
        <v>50</v>
      </c>
      <c r="C143" s="283" t="s">
        <v>61</v>
      </c>
      <c r="D143" s="283" t="s">
        <v>137</v>
      </c>
      <c r="E143" s="283" t="s">
        <v>149</v>
      </c>
      <c r="F143" s="283"/>
      <c r="G143" s="284">
        <v>1</v>
      </c>
      <c r="H143" s="894"/>
      <c r="I143" s="145" t="str">
        <f>+RIGHT(D143,LEN(D143)-5)</f>
        <v>Corporate &amp; Other Product Expense</v>
      </c>
      <c r="J143" s="145"/>
      <c r="K143" s="145"/>
      <c r="L143" s="145"/>
      <c r="M143" s="145"/>
      <c r="N143" s="285">
        <v>0</v>
      </c>
      <c r="O143" s="284">
        <v>0</v>
      </c>
      <c r="P143" s="284">
        <v>0</v>
      </c>
      <c r="Q143" s="284">
        <v>0</v>
      </c>
      <c r="R143" s="285">
        <v>0</v>
      </c>
      <c r="S143" s="421">
        <v>0</v>
      </c>
      <c r="T143" s="421">
        <v>0</v>
      </c>
      <c r="U143" s="421">
        <v>0</v>
      </c>
      <c r="AB143" s="253"/>
      <c r="AC143" s="253"/>
    </row>
    <row r="144" spans="1:29">
      <c r="A144" s="326" t="s">
        <v>218</v>
      </c>
      <c r="B144" s="326" t="s">
        <v>50</v>
      </c>
      <c r="C144" s="326" t="s">
        <v>61</v>
      </c>
      <c r="D144" s="326" t="s">
        <v>135</v>
      </c>
      <c r="E144" s="326" t="s">
        <v>149</v>
      </c>
      <c r="F144" s="326"/>
      <c r="G144" s="327">
        <v>1</v>
      </c>
      <c r="H144" s="900"/>
      <c r="I144" s="901" t="str">
        <f>+RIGHT(D144,LEN(D144)-5)</f>
        <v>Sales Based Expense</v>
      </c>
      <c r="J144" s="901"/>
      <c r="K144" s="901"/>
      <c r="L144" s="901"/>
      <c r="M144" s="901"/>
      <c r="N144" s="328">
        <v>77266.531494286857</v>
      </c>
      <c r="O144" s="327">
        <v>82935.441205120776</v>
      </c>
      <c r="P144" s="327">
        <v>82866.96761402837</v>
      </c>
      <c r="Q144" s="327">
        <v>89561.303025591013</v>
      </c>
      <c r="R144" s="328">
        <v>95167.699535514621</v>
      </c>
      <c r="S144" s="430">
        <v>95815.970654571458</v>
      </c>
      <c r="T144" s="430">
        <v>11291.469355752575</v>
      </c>
      <c r="U144" s="430">
        <v>0</v>
      </c>
      <c r="AB144" s="253"/>
      <c r="AC144" s="253"/>
    </row>
    <row r="145" spans="1:29">
      <c r="G145" s="253"/>
      <c r="I145" s="146" t="str">
        <f>+_xlfn.CONCAT(I142, " check")</f>
        <v>Asset Based Expense check</v>
      </c>
      <c r="N145" s="330">
        <f t="shared" ref="N145:U145" si="76">+N142-N100</f>
        <v>0</v>
      </c>
      <c r="O145" s="329">
        <f t="shared" si="76"/>
        <v>0</v>
      </c>
      <c r="P145" s="329">
        <f t="shared" si="76"/>
        <v>0</v>
      </c>
      <c r="Q145" s="329">
        <f t="shared" si="76"/>
        <v>0</v>
      </c>
      <c r="R145" s="330">
        <f t="shared" si="76"/>
        <v>0</v>
      </c>
      <c r="S145" s="431">
        <f t="shared" si="76"/>
        <v>0</v>
      </c>
      <c r="T145" s="431">
        <f t="shared" si="76"/>
        <v>0</v>
      </c>
      <c r="U145" s="431">
        <f t="shared" si="76"/>
        <v>0</v>
      </c>
      <c r="AB145" s="253"/>
      <c r="AC145" s="253"/>
    </row>
    <row r="146" spans="1:29">
      <c r="G146" s="253"/>
      <c r="I146" s="146" t="str">
        <f>+_xlfn.CONCAT(I143, " check")</f>
        <v>Corporate &amp; Other Product Expense check</v>
      </c>
      <c r="N146" s="330">
        <f t="shared" ref="N146:U146" si="77">+N143-N104</f>
        <v>0</v>
      </c>
      <c r="O146" s="329">
        <f t="shared" si="77"/>
        <v>0</v>
      </c>
      <c r="P146" s="329">
        <f t="shared" si="77"/>
        <v>0</v>
      </c>
      <c r="Q146" s="329">
        <f t="shared" si="77"/>
        <v>0</v>
      </c>
      <c r="R146" s="330">
        <f t="shared" si="77"/>
        <v>0</v>
      </c>
      <c r="S146" s="431">
        <f t="shared" si="77"/>
        <v>0</v>
      </c>
      <c r="T146" s="431">
        <f t="shared" si="77"/>
        <v>0</v>
      </c>
      <c r="U146" s="431">
        <f t="shared" si="77"/>
        <v>0</v>
      </c>
      <c r="AB146" s="253"/>
      <c r="AC146" s="253"/>
    </row>
    <row r="147" spans="1:29">
      <c r="G147" s="253"/>
      <c r="I147" s="146" t="str">
        <f>+_xlfn.CONCAT(I144, " check")</f>
        <v>Sales Based Expense check</v>
      </c>
      <c r="N147" s="330">
        <f t="shared" ref="N147:U147" si="78">+N144-N96</f>
        <v>0</v>
      </c>
      <c r="O147" s="329">
        <f t="shared" si="78"/>
        <v>0</v>
      </c>
      <c r="P147" s="329">
        <f t="shared" si="78"/>
        <v>0</v>
      </c>
      <c r="Q147" s="329">
        <f t="shared" si="78"/>
        <v>0</v>
      </c>
      <c r="R147" s="330">
        <f t="shared" si="78"/>
        <v>0</v>
      </c>
      <c r="S147" s="431">
        <f t="shared" si="78"/>
        <v>0</v>
      </c>
      <c r="T147" s="431">
        <f t="shared" si="78"/>
        <v>0</v>
      </c>
      <c r="U147" s="431">
        <f t="shared" si="78"/>
        <v>0</v>
      </c>
      <c r="AB147" s="253"/>
      <c r="AC147" s="253"/>
    </row>
    <row r="148" spans="1:29">
      <c r="G148" s="253"/>
      <c r="N148" s="250"/>
      <c r="R148" s="250"/>
      <c r="AB148" s="253"/>
      <c r="AC148" s="253"/>
    </row>
    <row r="149" spans="1:29">
      <c r="A149" s="279"/>
      <c r="B149" s="280"/>
      <c r="C149" s="280"/>
      <c r="D149" s="280"/>
      <c r="E149" s="280"/>
      <c r="F149" s="280"/>
      <c r="G149" s="281">
        <v>1</v>
      </c>
      <c r="H149" s="893" t="str">
        <f>+H22</f>
        <v>Income before income taxes</v>
      </c>
      <c r="I149" s="893"/>
      <c r="J149" s="893"/>
      <c r="K149" s="893"/>
      <c r="L149" s="893"/>
      <c r="M149" s="893"/>
      <c r="N149" s="282">
        <f t="shared" ref="N149:U149" si="79">+N22</f>
        <v>81270.484350254759</v>
      </c>
      <c r="O149" s="281">
        <f t="shared" si="79"/>
        <v>79420.33569851442</v>
      </c>
      <c r="P149" s="281">
        <f t="shared" si="79"/>
        <v>94223.486160931381</v>
      </c>
      <c r="Q149" s="281">
        <f t="shared" si="79"/>
        <v>100608.8179494169</v>
      </c>
      <c r="R149" s="282">
        <f t="shared" si="79"/>
        <v>100899.50036422804</v>
      </c>
      <c r="S149" s="420">
        <f t="shared" si="79"/>
        <v>104215.60939894724</v>
      </c>
      <c r="T149" s="420">
        <f t="shared" si="79"/>
        <v>0</v>
      </c>
      <c r="U149" s="420">
        <f t="shared" si="79"/>
        <v>0</v>
      </c>
      <c r="AB149" s="253"/>
      <c r="AC149" s="253"/>
    </row>
    <row r="150" spans="1:29">
      <c r="A150" s="283" t="s">
        <v>218</v>
      </c>
      <c r="B150" s="283" t="s">
        <v>50</v>
      </c>
      <c r="C150" s="283" t="s">
        <v>61</v>
      </c>
      <c r="D150" s="283" t="s">
        <v>147</v>
      </c>
      <c r="E150" s="283" t="s">
        <v>149</v>
      </c>
      <c r="F150" s="283"/>
      <c r="G150" s="284">
        <v>-1</v>
      </c>
      <c r="H150" s="894"/>
      <c r="I150" s="145" t="str">
        <f>+RIGHT(D150,LEN(D150)-5)</f>
        <v>Pre tax from Continuing Ops</v>
      </c>
      <c r="J150" s="145"/>
      <c r="K150" s="145"/>
      <c r="L150" s="145"/>
      <c r="M150" s="145"/>
      <c r="N150" s="285">
        <v>-81270.484350254832</v>
      </c>
      <c r="O150" s="284">
        <v>-79420.335698514406</v>
      </c>
      <c r="P150" s="284">
        <v>-94223.48616093141</v>
      </c>
      <c r="Q150" s="284">
        <v>-100608.8179494169</v>
      </c>
      <c r="R150" s="285">
        <v>-100899.50036422804</v>
      </c>
      <c r="S150" s="421">
        <v>-104215.60940615163</v>
      </c>
      <c r="T150" s="421">
        <v>42225.453259116919</v>
      </c>
      <c r="U150" s="421">
        <v>0</v>
      </c>
      <c r="AB150" s="253"/>
      <c r="AC150" s="253"/>
    </row>
    <row r="151" spans="1:29" ht="14.4" thickBot="1">
      <c r="G151" s="253"/>
      <c r="I151" s="895" t="s">
        <v>740</v>
      </c>
      <c r="J151" s="895"/>
      <c r="K151" s="895"/>
      <c r="L151" s="895"/>
      <c r="M151" s="895"/>
      <c r="N151" s="289">
        <f t="shared" ref="N151:U151" si="80">+SUM(N149:N150)</f>
        <v>0</v>
      </c>
      <c r="O151" s="288">
        <f t="shared" si="80"/>
        <v>0</v>
      </c>
      <c r="P151" s="288">
        <f t="shared" si="80"/>
        <v>0</v>
      </c>
      <c r="Q151" s="288">
        <f t="shared" si="80"/>
        <v>0</v>
      </c>
      <c r="R151" s="289">
        <f t="shared" si="80"/>
        <v>0</v>
      </c>
      <c r="S151" s="422">
        <f t="shared" si="80"/>
        <v>-7.2043912950903177E-6</v>
      </c>
      <c r="T151" s="422">
        <f t="shared" si="80"/>
        <v>42225.453259116919</v>
      </c>
      <c r="U151" s="422">
        <f t="shared" si="80"/>
        <v>0</v>
      </c>
      <c r="AB151" s="253"/>
      <c r="AC151" s="253"/>
    </row>
    <row r="152" spans="1:29" ht="14.4" thickTop="1">
      <c r="G152" s="253"/>
      <c r="N152" s="250"/>
      <c r="R152" s="250"/>
      <c r="AB152" s="253"/>
      <c r="AC152" s="253"/>
    </row>
    <row r="153" spans="1:29" ht="14.4">
      <c r="G153"/>
      <c r="H153"/>
      <c r="I153"/>
      <c r="J153"/>
      <c r="K153"/>
      <c r="L153"/>
      <c r="M153"/>
      <c r="N153"/>
      <c r="O153"/>
      <c r="P153"/>
      <c r="Q153"/>
      <c r="R153"/>
      <c r="S153"/>
      <c r="T153"/>
      <c r="U153"/>
      <c r="V153"/>
      <c r="W153"/>
      <c r="X153"/>
      <c r="Y153"/>
      <c r="AB153" s="253"/>
      <c r="AC153" s="253"/>
    </row>
    <row r="154" spans="1:29" ht="14.4">
      <c r="G154"/>
      <c r="H154"/>
      <c r="I154"/>
      <c r="J154"/>
      <c r="K154"/>
      <c r="L154"/>
      <c r="M154"/>
      <c r="N154"/>
      <c r="O154"/>
      <c r="P154"/>
      <c r="Q154"/>
      <c r="R154"/>
      <c r="S154"/>
      <c r="T154"/>
      <c r="U154"/>
      <c r="V154"/>
      <c r="W154"/>
      <c r="X154"/>
      <c r="Y154"/>
      <c r="AB154" s="253"/>
      <c r="AC154" s="253"/>
    </row>
    <row r="155" spans="1:29" ht="14.4">
      <c r="G155"/>
      <c r="H155"/>
      <c r="I155"/>
      <c r="J155"/>
      <c r="K155"/>
      <c r="L155"/>
      <c r="M155"/>
      <c r="N155"/>
      <c r="O155"/>
      <c r="P155"/>
      <c r="Q155"/>
      <c r="R155"/>
      <c r="S155"/>
      <c r="T155"/>
      <c r="U155"/>
      <c r="V155"/>
      <c r="W155"/>
      <c r="X155"/>
      <c r="Y155"/>
    </row>
    <row r="156" spans="1:29" ht="14.4">
      <c r="G156"/>
      <c r="H156"/>
      <c r="I156"/>
      <c r="J156"/>
      <c r="K156"/>
      <c r="L156"/>
      <c r="M156"/>
      <c r="N156"/>
      <c r="O156"/>
      <c r="P156"/>
      <c r="Q156"/>
      <c r="R156"/>
      <c r="S156"/>
      <c r="T156"/>
      <c r="U156"/>
      <c r="V156"/>
      <c r="W156"/>
      <c r="X156"/>
      <c r="Y156"/>
    </row>
    <row r="157" spans="1:29" ht="14.4">
      <c r="G157"/>
      <c r="H157"/>
      <c r="I157"/>
      <c r="J157"/>
      <c r="K157"/>
      <c r="L157"/>
      <c r="M157"/>
      <c r="N157"/>
      <c r="O157"/>
      <c r="P157"/>
      <c r="Q157"/>
      <c r="R157"/>
      <c r="S157"/>
      <c r="T157"/>
      <c r="U157"/>
      <c r="V157"/>
      <c r="W157"/>
      <c r="X157"/>
      <c r="Y157"/>
    </row>
    <row r="158" spans="1:29" ht="14.4">
      <c r="G158"/>
      <c r="H158"/>
      <c r="I158"/>
      <c r="J158"/>
      <c r="K158"/>
      <c r="L158"/>
      <c r="M158"/>
      <c r="N158"/>
      <c r="O158"/>
      <c r="P158"/>
      <c r="Q158"/>
      <c r="R158"/>
      <c r="S158"/>
      <c r="T158"/>
      <c r="U158"/>
      <c r="V158"/>
      <c r="W158"/>
      <c r="X158"/>
      <c r="Y158"/>
    </row>
    <row r="159" spans="1:29" ht="14.4">
      <c r="G159"/>
      <c r="H159"/>
      <c r="I159"/>
      <c r="J159"/>
      <c r="K159"/>
      <c r="L159"/>
      <c r="M159"/>
      <c r="N159"/>
      <c r="O159"/>
      <c r="P159"/>
      <c r="Q159"/>
      <c r="R159"/>
      <c r="S159"/>
      <c r="T159"/>
      <c r="U159"/>
      <c r="V159"/>
      <c r="W159"/>
      <c r="X159"/>
      <c r="Y159"/>
    </row>
    <row r="160" spans="1:29" ht="14.4">
      <c r="G160"/>
      <c r="H160"/>
      <c r="I160"/>
      <c r="J160"/>
      <c r="K160"/>
      <c r="L160"/>
      <c r="M160"/>
      <c r="N160"/>
      <c r="O160"/>
      <c r="P160"/>
      <c r="Q160"/>
      <c r="R160"/>
      <c r="S160"/>
      <c r="T160"/>
      <c r="U160"/>
      <c r="V160"/>
      <c r="W160"/>
      <c r="X160"/>
      <c r="Y160"/>
    </row>
    <row r="161" spans="7:25" ht="14.4">
      <c r="G161"/>
      <c r="H161"/>
      <c r="I161"/>
      <c r="J161"/>
      <c r="K161"/>
      <c r="L161"/>
      <c r="M161"/>
      <c r="N161"/>
      <c r="O161"/>
      <c r="P161"/>
      <c r="Q161"/>
      <c r="R161"/>
      <c r="S161"/>
      <c r="T161"/>
      <c r="U161"/>
      <c r="V161"/>
      <c r="W161"/>
      <c r="X161"/>
      <c r="Y161"/>
    </row>
    <row r="162" spans="7:25" ht="14.4">
      <c r="G162"/>
      <c r="H162"/>
      <c r="I162"/>
      <c r="J162"/>
      <c r="K162"/>
      <c r="L162"/>
      <c r="M162"/>
      <c r="N162"/>
      <c r="O162"/>
      <c r="P162"/>
      <c r="Q162"/>
      <c r="R162"/>
      <c r="S162"/>
      <c r="T162"/>
      <c r="U162"/>
      <c r="V162"/>
      <c r="W162"/>
      <c r="X162"/>
      <c r="Y162"/>
    </row>
    <row r="163" spans="7:25" ht="14.4">
      <c r="G163"/>
      <c r="H163"/>
      <c r="I163"/>
      <c r="J163"/>
      <c r="K163"/>
      <c r="L163"/>
      <c r="M163"/>
      <c r="N163"/>
      <c r="O163"/>
      <c r="P163"/>
      <c r="Q163"/>
      <c r="R163"/>
      <c r="S163"/>
      <c r="T163"/>
      <c r="U163"/>
      <c r="V163"/>
      <c r="W163"/>
      <c r="X163"/>
      <c r="Y163"/>
    </row>
    <row r="164" spans="7:25" ht="14.4">
      <c r="G164"/>
      <c r="H164"/>
      <c r="I164"/>
      <c r="J164"/>
      <c r="K164"/>
      <c r="L164"/>
      <c r="M164"/>
      <c r="N164"/>
      <c r="O164"/>
      <c r="P164"/>
      <c r="Q164"/>
      <c r="R164"/>
      <c r="S164"/>
      <c r="T164"/>
      <c r="U164"/>
      <c r="V164"/>
      <c r="W164"/>
      <c r="X164"/>
      <c r="Y164"/>
    </row>
    <row r="165" spans="7:25" ht="14.4">
      <c r="G165"/>
      <c r="H165"/>
      <c r="I165"/>
      <c r="J165"/>
      <c r="K165"/>
      <c r="L165"/>
      <c r="M165"/>
      <c r="N165"/>
      <c r="O165"/>
      <c r="P165"/>
      <c r="Q165"/>
      <c r="R165"/>
      <c r="S165"/>
      <c r="T165"/>
      <c r="U165"/>
      <c r="V165"/>
      <c r="W165"/>
      <c r="X165"/>
      <c r="Y165"/>
    </row>
    <row r="166" spans="7:25" ht="14.4">
      <c r="G166"/>
      <c r="H166"/>
      <c r="I166"/>
      <c r="J166"/>
      <c r="K166"/>
      <c r="L166"/>
      <c r="M166"/>
      <c r="N166"/>
      <c r="O166"/>
      <c r="P166"/>
      <c r="Q166"/>
      <c r="R166"/>
      <c r="S166"/>
      <c r="T166"/>
      <c r="U166"/>
      <c r="V166"/>
      <c r="W166"/>
      <c r="X166"/>
      <c r="Y166"/>
    </row>
    <row r="167" spans="7:25" ht="14.4">
      <c r="G167"/>
      <c r="H167"/>
      <c r="I167"/>
      <c r="J167"/>
      <c r="K167"/>
      <c r="L167"/>
      <c r="M167"/>
      <c r="N167"/>
      <c r="O167"/>
      <c r="P167"/>
      <c r="Q167"/>
      <c r="R167"/>
      <c r="S167"/>
      <c r="T167"/>
      <c r="U167"/>
      <c r="V167"/>
      <c r="W167"/>
      <c r="X167"/>
      <c r="Y167"/>
    </row>
    <row r="168" spans="7:25" ht="14.4">
      <c r="G168"/>
      <c r="H168"/>
      <c r="I168"/>
      <c r="J168"/>
      <c r="K168"/>
      <c r="L168"/>
      <c r="M168"/>
      <c r="N168"/>
      <c r="O168"/>
      <c r="P168"/>
      <c r="Q168"/>
      <c r="R168"/>
      <c r="S168"/>
      <c r="T168"/>
      <c r="U168"/>
      <c r="V168"/>
      <c r="W168"/>
      <c r="X168"/>
      <c r="Y168"/>
    </row>
    <row r="169" spans="7:25" ht="14.4">
      <c r="G169"/>
      <c r="H169"/>
      <c r="I169"/>
      <c r="J169"/>
      <c r="K169"/>
      <c r="L169"/>
      <c r="M169"/>
      <c r="N169"/>
      <c r="O169"/>
      <c r="P169"/>
      <c r="Q169"/>
      <c r="R169"/>
      <c r="S169"/>
      <c r="T169"/>
      <c r="U169"/>
      <c r="V169"/>
      <c r="W169"/>
      <c r="X169"/>
      <c r="Y169"/>
    </row>
    <row r="170" spans="7:25" ht="14.4">
      <c r="G170"/>
      <c r="H170"/>
      <c r="I170"/>
      <c r="J170"/>
      <c r="K170"/>
      <c r="L170"/>
      <c r="M170"/>
      <c r="N170"/>
      <c r="O170"/>
      <c r="P170"/>
      <c r="Q170"/>
      <c r="R170"/>
      <c r="S170"/>
      <c r="T170"/>
      <c r="U170"/>
      <c r="V170"/>
      <c r="W170"/>
      <c r="X170"/>
      <c r="Y170"/>
    </row>
    <row r="171" spans="7:25" ht="14.4">
      <c r="G171"/>
      <c r="H171"/>
      <c r="I171"/>
      <c r="J171"/>
      <c r="K171"/>
      <c r="L171"/>
      <c r="M171"/>
      <c r="N171"/>
      <c r="O171"/>
      <c r="P171"/>
      <c r="Q171"/>
      <c r="R171"/>
      <c r="S171"/>
      <c r="T171"/>
      <c r="U171"/>
      <c r="V171"/>
      <c r="W171"/>
      <c r="X171"/>
      <c r="Y171"/>
    </row>
    <row r="172" spans="7:25" ht="14.4">
      <c r="G172"/>
      <c r="H172"/>
      <c r="I172"/>
      <c r="J172"/>
      <c r="K172"/>
      <c r="L172"/>
      <c r="M172"/>
      <c r="N172"/>
      <c r="O172"/>
      <c r="P172"/>
      <c r="Q172"/>
      <c r="R172"/>
      <c r="S172"/>
      <c r="T172"/>
      <c r="U172"/>
      <c r="V172"/>
      <c r="W172"/>
      <c r="X172"/>
      <c r="Y172"/>
    </row>
    <row r="173" spans="7:25" ht="14.4">
      <c r="G173"/>
      <c r="H173"/>
      <c r="I173"/>
      <c r="J173"/>
      <c r="K173"/>
      <c r="L173"/>
      <c r="M173"/>
      <c r="N173"/>
      <c r="O173"/>
      <c r="P173"/>
      <c r="Q173"/>
      <c r="R173"/>
      <c r="S173"/>
      <c r="T173"/>
      <c r="U173"/>
      <c r="V173"/>
      <c r="W173"/>
      <c r="X173"/>
      <c r="Y173"/>
    </row>
    <row r="174" spans="7:25" ht="14.4">
      <c r="G174"/>
      <c r="H174"/>
      <c r="I174"/>
      <c r="J174"/>
      <c r="K174"/>
      <c r="L174"/>
      <c r="M174"/>
      <c r="N174"/>
      <c r="O174"/>
      <c r="P174"/>
      <c r="Q174"/>
      <c r="R174"/>
      <c r="S174"/>
      <c r="T174"/>
      <c r="U174"/>
      <c r="V174"/>
      <c r="W174"/>
      <c r="X174"/>
      <c r="Y174"/>
    </row>
    <row r="175" spans="7:25" ht="14.4">
      <c r="G175"/>
      <c r="H175"/>
      <c r="I175"/>
      <c r="J175"/>
      <c r="K175"/>
      <c r="L175"/>
      <c r="M175"/>
      <c r="N175"/>
      <c r="O175"/>
      <c r="P175"/>
      <c r="Q175"/>
      <c r="R175"/>
      <c r="S175"/>
      <c r="T175"/>
      <c r="U175"/>
      <c r="V175"/>
      <c r="W175"/>
      <c r="X175"/>
      <c r="Y175"/>
    </row>
    <row r="176" spans="7:25" ht="14.4">
      <c r="G176"/>
      <c r="H176"/>
      <c r="I176"/>
      <c r="J176"/>
      <c r="K176"/>
      <c r="L176"/>
      <c r="M176"/>
      <c r="N176"/>
      <c r="O176"/>
      <c r="P176"/>
      <c r="Q176"/>
      <c r="R176"/>
      <c r="S176"/>
      <c r="T176"/>
      <c r="U176"/>
      <c r="V176"/>
      <c r="W176"/>
      <c r="X176"/>
      <c r="Y176"/>
    </row>
    <row r="177" spans="7:25" ht="14.4">
      <c r="G177"/>
      <c r="H177"/>
      <c r="I177"/>
      <c r="J177"/>
      <c r="K177"/>
      <c r="L177"/>
      <c r="M177"/>
      <c r="N177"/>
      <c r="O177"/>
      <c r="P177"/>
      <c r="Q177"/>
      <c r="R177"/>
      <c r="S177"/>
      <c r="T177"/>
      <c r="U177"/>
      <c r="V177"/>
      <c r="W177"/>
      <c r="X177"/>
      <c r="Y177"/>
    </row>
    <row r="178" spans="7:25" ht="14.4">
      <c r="G178"/>
      <c r="H178"/>
      <c r="I178"/>
      <c r="J178"/>
      <c r="K178"/>
      <c r="L178"/>
      <c r="M178"/>
      <c r="N178"/>
      <c r="O178"/>
      <c r="P178"/>
      <c r="Q178"/>
      <c r="R178"/>
      <c r="S178"/>
      <c r="T178"/>
      <c r="U178"/>
      <c r="V178"/>
      <c r="W178"/>
      <c r="X178"/>
      <c r="Y178"/>
    </row>
    <row r="179" spans="7:25" ht="14.4">
      <c r="G179"/>
      <c r="H179"/>
      <c r="I179"/>
      <c r="J179"/>
      <c r="K179"/>
      <c r="L179"/>
      <c r="M179"/>
      <c r="N179"/>
      <c r="O179"/>
      <c r="P179"/>
      <c r="Q179"/>
      <c r="R179"/>
      <c r="S179"/>
      <c r="T179"/>
      <c r="U179"/>
      <c r="V179"/>
      <c r="W179"/>
      <c r="X179"/>
      <c r="Y179"/>
    </row>
    <row r="180" spans="7:25" ht="14.4">
      <c r="G180"/>
      <c r="H180"/>
      <c r="I180"/>
      <c r="J180"/>
      <c r="K180"/>
      <c r="L180"/>
      <c r="M180"/>
      <c r="N180"/>
      <c r="O180"/>
      <c r="P180"/>
      <c r="Q180"/>
      <c r="R180"/>
      <c r="S180"/>
      <c r="T180"/>
      <c r="U180"/>
      <c r="V180"/>
      <c r="W180"/>
      <c r="X180"/>
      <c r="Y180"/>
    </row>
    <row r="181" spans="7:25" ht="14.4">
      <c r="G181"/>
      <c r="H181"/>
      <c r="I181"/>
      <c r="J181"/>
      <c r="K181"/>
      <c r="L181"/>
      <c r="M181"/>
      <c r="N181"/>
      <c r="O181"/>
      <c r="P181"/>
      <c r="Q181"/>
      <c r="R181"/>
      <c r="S181"/>
      <c r="T181"/>
      <c r="U181"/>
      <c r="V181"/>
      <c r="W181"/>
      <c r="X181"/>
      <c r="Y181"/>
    </row>
    <row r="182" spans="7:25" ht="14.4">
      <c r="G182"/>
      <c r="H182"/>
      <c r="I182"/>
      <c r="J182"/>
      <c r="K182"/>
      <c r="L182"/>
      <c r="M182"/>
      <c r="N182"/>
      <c r="O182"/>
      <c r="P182"/>
      <c r="Q182"/>
      <c r="R182"/>
      <c r="S182"/>
      <c r="T182"/>
      <c r="U182"/>
      <c r="V182"/>
      <c r="W182"/>
      <c r="X182"/>
      <c r="Y182"/>
    </row>
    <row r="183" spans="7:25" ht="14.4">
      <c r="G183"/>
      <c r="H183"/>
      <c r="I183"/>
      <c r="J183"/>
      <c r="K183"/>
      <c r="L183"/>
      <c r="M183"/>
      <c r="N183"/>
      <c r="O183"/>
      <c r="P183"/>
      <c r="Q183"/>
      <c r="R183"/>
      <c r="S183"/>
      <c r="T183"/>
      <c r="U183"/>
      <c r="V183"/>
      <c r="W183"/>
      <c r="X183"/>
      <c r="Y183"/>
    </row>
    <row r="184" spans="7:25" ht="14.4">
      <c r="G184"/>
      <c r="H184"/>
      <c r="I184"/>
      <c r="J184"/>
      <c r="K184"/>
      <c r="L184"/>
      <c r="M184"/>
      <c r="N184"/>
      <c r="O184"/>
      <c r="P184"/>
      <c r="Q184"/>
      <c r="R184"/>
      <c r="S184"/>
      <c r="T184"/>
      <c r="U184"/>
      <c r="V184"/>
      <c r="W184"/>
      <c r="X184"/>
      <c r="Y184"/>
    </row>
    <row r="185" spans="7:25" ht="14.4">
      <c r="G185"/>
      <c r="H185"/>
      <c r="I185"/>
      <c r="J185"/>
      <c r="K185"/>
      <c r="L185"/>
      <c r="M185"/>
      <c r="N185"/>
      <c r="O185"/>
      <c r="P185"/>
      <c r="Q185"/>
      <c r="R185"/>
      <c r="S185"/>
      <c r="T185"/>
      <c r="U185"/>
      <c r="V185"/>
      <c r="W185"/>
      <c r="X185"/>
      <c r="Y185"/>
    </row>
    <row r="186" spans="7:25" ht="14.4">
      <c r="G186"/>
      <c r="H186"/>
      <c r="I186"/>
      <c r="J186"/>
      <c r="K186"/>
      <c r="L186"/>
      <c r="M186"/>
      <c r="N186"/>
      <c r="O186"/>
      <c r="P186"/>
      <c r="Q186"/>
      <c r="R186"/>
      <c r="S186"/>
      <c r="T186"/>
      <c r="U186"/>
      <c r="V186"/>
      <c r="W186"/>
      <c r="X186"/>
      <c r="Y186"/>
    </row>
    <row r="187" spans="7:25" ht="14.4">
      <c r="G187"/>
      <c r="H187"/>
      <c r="I187"/>
      <c r="J187"/>
      <c r="K187"/>
      <c r="L187"/>
      <c r="M187"/>
      <c r="N187"/>
      <c r="O187"/>
      <c r="P187"/>
      <c r="Q187"/>
      <c r="R187"/>
      <c r="S187"/>
      <c r="T187"/>
      <c r="U187"/>
      <c r="V187"/>
      <c r="W187"/>
      <c r="X187"/>
      <c r="Y187"/>
    </row>
  </sheetData>
  <sheetProtection formatCells="0"/>
  <mergeCells count="42">
    <mergeCell ref="H41:M41"/>
    <mergeCell ref="H33:M33"/>
    <mergeCell ref="H34:M34"/>
    <mergeCell ref="H36:M36"/>
    <mergeCell ref="H37:M37"/>
    <mergeCell ref="H38:M38"/>
    <mergeCell ref="H39:M39"/>
    <mergeCell ref="H18:M18"/>
    <mergeCell ref="H26:M26"/>
    <mergeCell ref="H32:M32"/>
    <mergeCell ref="G24:M24"/>
    <mergeCell ref="H27:M27"/>
    <mergeCell ref="H28:M28"/>
    <mergeCell ref="H29:M29"/>
    <mergeCell ref="H31:M31"/>
    <mergeCell ref="H21:M21"/>
    <mergeCell ref="H22:M22"/>
    <mergeCell ref="H19:M19"/>
    <mergeCell ref="H20:M20"/>
    <mergeCell ref="H12:M12"/>
    <mergeCell ref="H15:M15"/>
    <mergeCell ref="X3:Y3"/>
    <mergeCell ref="H8:M8"/>
    <mergeCell ref="H6:M6"/>
    <mergeCell ref="H7:M7"/>
    <mergeCell ref="H9:M9"/>
    <mergeCell ref="H1:AB1"/>
    <mergeCell ref="AC1:AG1"/>
    <mergeCell ref="H51:AG51"/>
    <mergeCell ref="H46:AG46"/>
    <mergeCell ref="H47:AG47"/>
    <mergeCell ref="H48:AG48"/>
    <mergeCell ref="H49:AG49"/>
    <mergeCell ref="H50:AG50"/>
    <mergeCell ref="H16:M16"/>
    <mergeCell ref="H17:M17"/>
    <mergeCell ref="AF3:AG3"/>
    <mergeCell ref="G4:M4"/>
    <mergeCell ref="G5:M5"/>
    <mergeCell ref="H14:M14"/>
    <mergeCell ref="H10:M10"/>
    <mergeCell ref="H11:M11"/>
  </mergeCells>
  <conditionalFormatting sqref="N61:U61">
    <cfRule type="cellIs" dxfId="2" priority="1" operator="equal">
      <formula>"ERROR"</formula>
    </cfRule>
  </conditionalFormatting>
  <pageMargins left="0.15" right="0.15" top="0.15" bottom="0.15" header="0" footer="0.15"/>
  <pageSetup scale="60"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D44-70DF-4774-878B-C755B783A928}">
  <sheetPr>
    <pageSetUpPr fitToPage="1"/>
  </sheetPr>
  <dimension ref="A1:BX71"/>
  <sheetViews>
    <sheetView zoomScale="90" zoomScaleNormal="90" workbookViewId="0"/>
  </sheetViews>
  <sheetFormatPr defaultColWidth="9.109375" defaultRowHeight="13.8"/>
  <cols>
    <col min="1" max="6" width="9.109375" style="145"/>
    <col min="7" max="7" width="4.109375" style="892" customWidth="1"/>
    <col min="8" max="12" width="4.109375" style="146" customWidth="1"/>
    <col min="13" max="13" width="48.5546875" style="146" customWidth="1"/>
    <col min="14" max="18" width="10.6640625" style="146" customWidth="1"/>
    <col min="19" max="21" width="10.6640625" style="294" customWidth="1"/>
    <col min="22" max="23" width="0.88671875" style="146" customWidth="1"/>
    <col min="24" max="24" width="10.6640625" style="146" customWidth="1"/>
    <col min="25" max="25" width="8.88671875" style="641" bestFit="1" customWidth="1"/>
    <col min="26" max="27" width="0.88671875" style="146" customWidth="1"/>
    <col min="28" max="28" width="11.5546875" style="146" bestFit="1" customWidth="1"/>
    <col min="29" max="29" width="11.5546875" style="146" customWidth="1"/>
    <col min="30" max="31" width="0.88671875" style="146" customWidth="1"/>
    <col min="32" max="32" width="10.6640625" style="146" customWidth="1"/>
    <col min="33" max="33" width="8.88671875" style="641" bestFit="1"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876</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U2" s="683"/>
      <c r="Y2" s="684"/>
      <c r="AG2" s="684"/>
      <c r="AH2" s="661"/>
    </row>
    <row r="3" spans="1:39" s="654" customFormat="1" ht="14.4">
      <c r="A3" s="656"/>
      <c r="B3" s="656"/>
      <c r="C3" s="656"/>
      <c r="D3" s="656"/>
      <c r="E3" s="656"/>
      <c r="F3" s="656"/>
      <c r="G3" s="892"/>
      <c r="H3" s="146"/>
      <c r="I3" s="146"/>
      <c r="J3" s="146"/>
      <c r="K3" s="146"/>
      <c r="L3" s="146"/>
      <c r="M3" s="146"/>
      <c r="N3" s="739"/>
      <c r="O3" s="739"/>
      <c r="P3" s="739"/>
      <c r="Q3" s="739"/>
      <c r="R3" s="739"/>
      <c r="S3" s="740"/>
      <c r="T3" s="740"/>
      <c r="U3" s="740"/>
      <c r="V3" s="702"/>
      <c r="W3" s="655"/>
      <c r="X3" s="1145" t="str">
        <f>+_xlfn.CONCAT("YOY ",LEFT(Manual!$D$1,2))</f>
        <v>YOY Q2</v>
      </c>
      <c r="Y3" s="1145"/>
      <c r="Z3" s="741"/>
      <c r="AA3" s="655"/>
      <c r="AB3" s="739"/>
      <c r="AC3" s="739"/>
      <c r="AD3" s="702"/>
      <c r="AE3" s="655"/>
      <c r="AF3" s="1145" t="s">
        <v>153</v>
      </c>
      <c r="AG3" s="1145"/>
      <c r="AH3" s="661"/>
    </row>
    <row r="4" spans="1:39" s="654" customFormat="1" ht="30" customHeight="1">
      <c r="A4" s="656"/>
      <c r="B4" s="656"/>
      <c r="C4" s="656"/>
      <c r="D4" s="656"/>
      <c r="E4" s="656"/>
      <c r="F4" s="656"/>
      <c r="G4" s="1144"/>
      <c r="H4" s="1144"/>
      <c r="I4" s="1144"/>
      <c r="J4" s="1144"/>
      <c r="K4" s="1144"/>
      <c r="L4" s="1144"/>
      <c r="M4" s="1144"/>
      <c r="N4" s="663" t="str">
        <f>+IS!N4</f>
        <v>Q1
2025</v>
      </c>
      <c r="O4" s="662" t="str">
        <f>+IS!O4</f>
        <v>Q2
2025</v>
      </c>
      <c r="P4" s="662" t="str">
        <f>+IS!P4</f>
        <v>Q3
2025</v>
      </c>
      <c r="Q4" s="662" t="str">
        <f>+IS!Q4</f>
        <v>Q4
2025</v>
      </c>
      <c r="R4" s="663" t="str">
        <f>+IS!R4</f>
        <v>Q1
2026</v>
      </c>
      <c r="S4" s="662" t="str">
        <f>+IS!S4</f>
        <v>Q2
2026</v>
      </c>
      <c r="T4" s="662" t="str">
        <f>+IS!T4</f>
        <v>Q3
2026</v>
      </c>
      <c r="U4" s="662" t="str">
        <f>+IS!U4</f>
        <v>Q4
2026</v>
      </c>
      <c r="V4" s="686"/>
      <c r="W4" s="655"/>
      <c r="X4" s="662" t="s">
        <v>151</v>
      </c>
      <c r="Y4" s="662" t="s">
        <v>152</v>
      </c>
      <c r="Z4" s="741"/>
      <c r="AA4" s="655"/>
      <c r="AB4" s="662" t="str">
        <f>+_xlfn.CONCAT("YTD ",RIGHT(Q4,4))</f>
        <v>YTD 2025</v>
      </c>
      <c r="AC4" s="662" t="str">
        <f>+_xlfn.CONCAT("YTD ",RIGHT(U4,4))</f>
        <v>YTD 2026</v>
      </c>
      <c r="AD4" s="686"/>
      <c r="AE4" s="655"/>
      <c r="AF4" s="662" t="s">
        <v>151</v>
      </c>
      <c r="AG4" s="662" t="s">
        <v>152</v>
      </c>
      <c r="AH4" s="661"/>
    </row>
    <row r="5" spans="1:39" ht="15" customHeight="1">
      <c r="G5" s="1171" t="s">
        <v>226</v>
      </c>
      <c r="H5" s="1171"/>
      <c r="I5" s="1171"/>
      <c r="J5" s="1171"/>
      <c r="K5" s="1171"/>
      <c r="L5" s="1171"/>
      <c r="M5" s="1171"/>
      <c r="N5" s="149"/>
      <c r="O5" s="150"/>
      <c r="P5" s="150"/>
      <c r="Q5" s="150"/>
      <c r="R5" s="149"/>
      <c r="S5" s="150"/>
      <c r="T5" s="150"/>
      <c r="U5" s="150"/>
      <c r="V5" s="258"/>
      <c r="W5" s="147"/>
      <c r="X5" s="150"/>
      <c r="Y5" s="642"/>
      <c r="Z5" s="299"/>
      <c r="AA5" s="147"/>
      <c r="AB5" s="150"/>
      <c r="AC5" s="150"/>
      <c r="AD5" s="258"/>
      <c r="AE5" s="147"/>
      <c r="AF5" s="150"/>
      <c r="AG5" s="642"/>
      <c r="AH5"/>
    </row>
    <row r="6" spans="1:39" ht="14.4">
      <c r="G6" s="972"/>
      <c r="H6" s="147"/>
      <c r="I6" s="147"/>
      <c r="J6" s="147"/>
      <c r="K6" s="147"/>
      <c r="L6" s="147"/>
      <c r="M6" s="147"/>
      <c r="N6" s="311"/>
      <c r="O6" s="310"/>
      <c r="P6" s="310"/>
      <c r="Q6" s="310"/>
      <c r="R6" s="311"/>
      <c r="S6" s="312"/>
      <c r="T6" s="312"/>
      <c r="U6" s="312"/>
      <c r="V6" s="258"/>
      <c r="W6" s="147"/>
      <c r="X6" s="310"/>
      <c r="Y6" s="652"/>
      <c r="Z6" s="313"/>
      <c r="AA6" s="310"/>
      <c r="AB6" s="310"/>
      <c r="AC6" s="310"/>
      <c r="AD6" s="258"/>
      <c r="AE6" s="147"/>
      <c r="AF6" s="310"/>
      <c r="AG6" s="652"/>
      <c r="AH6"/>
    </row>
    <row r="7" spans="1:39" ht="15" customHeight="1">
      <c r="G7" s="972"/>
      <c r="H7" s="1133" t="s">
        <v>754</v>
      </c>
      <c r="I7" s="1133"/>
      <c r="J7" s="1133"/>
      <c r="K7" s="1133"/>
      <c r="L7" s="1133"/>
      <c r="M7" s="1133"/>
      <c r="N7" s="265"/>
      <c r="O7" s="264"/>
      <c r="P7" s="264"/>
      <c r="Q7" s="264"/>
      <c r="R7" s="265"/>
      <c r="S7" s="264"/>
      <c r="T7" s="264"/>
      <c r="U7" s="264"/>
      <c r="V7" s="266"/>
      <c r="W7" s="257"/>
      <c r="X7" s="264"/>
      <c r="Y7" s="637"/>
      <c r="Z7" s="262"/>
      <c r="AA7" s="257"/>
      <c r="AB7" s="264"/>
      <c r="AC7" s="264"/>
      <c r="AD7" s="266"/>
      <c r="AE7" s="257"/>
      <c r="AF7" s="264"/>
      <c r="AG7" s="637"/>
      <c r="AH7"/>
    </row>
    <row r="8" spans="1:39" s="728" customFormat="1" ht="15" customHeight="1">
      <c r="A8" s="721"/>
      <c r="B8" s="721"/>
      <c r="C8" s="721"/>
      <c r="D8" s="721"/>
      <c r="E8" s="721"/>
      <c r="F8" s="721"/>
      <c r="G8" s="972"/>
      <c r="H8" s="147"/>
      <c r="I8" s="1133" t="s">
        <v>269</v>
      </c>
      <c r="J8" s="1133"/>
      <c r="K8" s="1133"/>
      <c r="L8" s="1133"/>
      <c r="M8" s="1133"/>
      <c r="N8" s="723">
        <f>+SUMIF(Manual!$2:$2,N$4,Manual!$47:$47)</f>
        <v>1317.93</v>
      </c>
      <c r="O8" s="722">
        <f>+SUMIF(Manual!$2:$2,O$4,Manual!$47:$47)</f>
        <v>1244.0060000000001</v>
      </c>
      <c r="P8" s="722">
        <f>+SUMIF(Manual!$2:$2,P$4,Manual!$47:$47)</f>
        <v>1298.3910000000001</v>
      </c>
      <c r="Q8" s="722">
        <f>+SUMIF(Manual!$2:$2,Q$4,Manual!$47:$47)</f>
        <v>1323.0260000000001</v>
      </c>
      <c r="R8" s="723">
        <f>+SUMIF(Manual!$2:$2,R$4,Manual!$47:$47)</f>
        <v>1460.242</v>
      </c>
      <c r="S8" s="722">
        <f>+SUMIF(Manual!$2:$2,S$4,Manual!$47:$47)</f>
        <v>1482.4290000000001</v>
      </c>
      <c r="T8" s="722"/>
      <c r="U8" s="722"/>
      <c r="V8" s="766"/>
      <c r="W8" s="725"/>
      <c r="X8" s="722">
        <f t="shared" ref="X8:X16" si="0">+SUMIF($N$4:$U$4,$B$1,$N8:$U8)-SUMIF($N$4:$U$4,$A$1,$N8:$U8)</f>
        <v>238.423</v>
      </c>
      <c r="Y8" s="926">
        <f t="shared" ref="Y8:Y16" si="1">IF(OR(ABS(IF(X8&lt;0,-ABS(X8/SUMIF($N$4:$U$4,$A$1,$N8:$U8)),ABS(X8/SUMIF($N$4:$U$4,$A$1,$N8:$U8))))&lt;minvar,ABS(IF(X8&lt;0,-ABS(X8/SUMIF($N$4:$U$4,$A$1,$N8:$U8)),ABS(X8/SUMIF($N$4:$U$4,$A$1,$N8:$U8))))&gt;maxvar)=TRUE,"nm",IF(X8&lt;0,-ABS(X8/SUMIF($N$4:$U$4,$A$1,$N8:$U8)),ABS(X8/SUMIF($N$4:$U$4,$A$1,$N8:$U8))))</f>
        <v>0.19165743573584049</v>
      </c>
      <c r="Z8" s="726"/>
      <c r="AA8" s="725"/>
      <c r="AB8" s="722">
        <f>+SUMIF($N$71:$Q$71,"Yes",$N8:$Q8)</f>
        <v>2561.9360000000001</v>
      </c>
      <c r="AC8" s="722">
        <f>+SUMIF($R$71:$U$71,"Yes",$R8:$U8)</f>
        <v>2942.6710000000003</v>
      </c>
      <c r="AD8" s="766"/>
      <c r="AE8" s="725"/>
      <c r="AF8" s="722">
        <f>+$AC8-$AB8</f>
        <v>380.73500000000013</v>
      </c>
      <c r="AG8" s="926">
        <f t="shared" ref="AG8:AG16" si="2">IF(OR(ABS(IF(AF8&lt;0,-ABS(AF8/$AB8),ABS(AF8/$AB8)))&lt;minvar,ABS(IF(AF8&lt;0,-ABS(AF8/$AB8),ABS(AF8/$AB8)))&gt;maxvar)=TRUE,"nm",IF(AF8&lt;0,-ABS(AF8/$AB8),ABS(AF8/$AB8)))</f>
        <v>0.14861222138257946</v>
      </c>
      <c r="AH8" s="727"/>
    </row>
    <row r="9" spans="1:39" s="774" customFormat="1" ht="15" customHeight="1">
      <c r="A9" s="767"/>
      <c r="B9" s="767"/>
      <c r="C9" s="767"/>
      <c r="D9" s="767"/>
      <c r="E9" s="767"/>
      <c r="F9" s="767"/>
      <c r="G9" s="972"/>
      <c r="H9" s="147"/>
      <c r="I9" s="1133" t="s">
        <v>270</v>
      </c>
      <c r="J9" s="1133"/>
      <c r="K9" s="1133"/>
      <c r="L9" s="1133"/>
      <c r="M9" s="1133"/>
      <c r="N9" s="769">
        <f>+SUMIF(Manual!$2:$2,N$4,Manual!$48:$48)</f>
        <v>220.70599999999999</v>
      </c>
      <c r="O9" s="768">
        <f>+SUMIF(Manual!$2:$2,O$4,Manual!$48:$48)</f>
        <v>168.47300000000001</v>
      </c>
      <c r="P9" s="768">
        <f>+SUMIF(Manual!$2:$2,P$4,Manual!$48:$48)</f>
        <v>185.72</v>
      </c>
      <c r="Q9" s="768">
        <f>+SUMIF(Manual!$2:$2,Q$4,Manual!$48:$48)</f>
        <v>212.87700000000001</v>
      </c>
      <c r="R9" s="769">
        <f>+SUMIF(Manual!$2:$2,R$4,Manual!$48:$48)</f>
        <v>235.18600000000001</v>
      </c>
      <c r="S9" s="768">
        <f>+SUMIF(Manual!$2:$2,S$4,Manual!$48:$48)</f>
        <v>199.18</v>
      </c>
      <c r="T9" s="768"/>
      <c r="U9" s="768"/>
      <c r="V9" s="770"/>
      <c r="W9" s="771"/>
      <c r="X9" s="768">
        <f t="shared" si="0"/>
        <v>30.706999999999994</v>
      </c>
      <c r="Y9" s="928">
        <f t="shared" si="1"/>
        <v>0.18226659464721345</v>
      </c>
      <c r="Z9" s="772"/>
      <c r="AA9" s="771"/>
      <c r="AB9" s="768">
        <f t="shared" ref="AB9:AB16" si="3">+SUMIF($N$71:$Q$71,"Yes",$N9:$Q9)</f>
        <v>389.17899999999997</v>
      </c>
      <c r="AC9" s="768">
        <f t="shared" ref="AC9:AC16" si="4">+SUMIF($R$71:$U$71,"Yes",$R9:$U9)</f>
        <v>434.36599999999999</v>
      </c>
      <c r="AD9" s="770"/>
      <c r="AE9" s="771"/>
      <c r="AF9" s="768">
        <f t="shared" ref="AF9:AF16" si="5">+$AC9-$AB9</f>
        <v>45.187000000000012</v>
      </c>
      <c r="AG9" s="928">
        <f t="shared" si="2"/>
        <v>0.11610852589682387</v>
      </c>
      <c r="AH9" s="773"/>
      <c r="AJ9" s="728"/>
      <c r="AK9" s="728"/>
      <c r="AL9" s="728"/>
      <c r="AM9" s="728"/>
    </row>
    <row r="10" spans="1:39" s="774" customFormat="1" ht="15" customHeight="1">
      <c r="A10" s="767"/>
      <c r="B10" s="767"/>
      <c r="C10" s="767"/>
      <c r="D10" s="767"/>
      <c r="E10" s="767"/>
      <c r="F10" s="767"/>
      <c r="G10" s="972"/>
      <c r="H10" s="147"/>
      <c r="I10" s="1133" t="s">
        <v>271</v>
      </c>
      <c r="J10" s="1133"/>
      <c r="K10" s="1133"/>
      <c r="L10" s="1133"/>
      <c r="M10" s="1133"/>
      <c r="N10" s="769">
        <f>+SUMIF(Manual!$2:$2,N$4,Manual!$49:$49)</f>
        <v>71.090999999999994</v>
      </c>
      <c r="O10" s="768">
        <f>+SUMIF(Manual!$2:$2,O$4,Manual!$49:$49)</f>
        <v>93.03</v>
      </c>
      <c r="P10" s="768">
        <f>+SUMIF(Manual!$2:$2,P$4,Manual!$49:$49)</f>
        <v>72.668000000000006</v>
      </c>
      <c r="Q10" s="768">
        <f>+SUMIF(Manual!$2:$2,Q$4,Manual!$49:$49)</f>
        <v>70.209999999999994</v>
      </c>
      <c r="R10" s="769">
        <f>+SUMIF(Manual!$2:$2,R$4,Manual!$49:$49)</f>
        <v>77.247</v>
      </c>
      <c r="S10" s="768">
        <f>+SUMIF(Manual!$2:$2,S$4,Manual!$49:$49)</f>
        <v>68.414000000000001</v>
      </c>
      <c r="T10" s="768"/>
      <c r="U10" s="768"/>
      <c r="V10" s="770"/>
      <c r="W10" s="771"/>
      <c r="X10" s="768">
        <f t="shared" si="0"/>
        <v>-24.616</v>
      </c>
      <c r="Y10" s="928">
        <f t="shared" si="1"/>
        <v>-0.26460281629581855</v>
      </c>
      <c r="Z10" s="772"/>
      <c r="AA10" s="771"/>
      <c r="AB10" s="768">
        <f t="shared" si="3"/>
        <v>164.12099999999998</v>
      </c>
      <c r="AC10" s="768">
        <f t="shared" si="4"/>
        <v>145.661</v>
      </c>
      <c r="AD10" s="770"/>
      <c r="AE10" s="771"/>
      <c r="AF10" s="768">
        <f t="shared" si="5"/>
        <v>-18.45999999999998</v>
      </c>
      <c r="AG10" s="928">
        <f t="shared" si="2"/>
        <v>-0.11247798880094553</v>
      </c>
      <c r="AH10" s="773"/>
      <c r="AJ10" s="728"/>
      <c r="AK10" s="728"/>
      <c r="AL10" s="728"/>
      <c r="AM10" s="728"/>
    </row>
    <row r="11" spans="1:39" s="774" customFormat="1" ht="14.4">
      <c r="A11" s="767"/>
      <c r="B11" s="767"/>
      <c r="C11" s="767"/>
      <c r="D11" s="767"/>
      <c r="E11" s="767"/>
      <c r="F11" s="767"/>
      <c r="G11" s="972"/>
      <c r="H11" s="147"/>
      <c r="I11" s="1133" t="s">
        <v>272</v>
      </c>
      <c r="J11" s="1133"/>
      <c r="K11" s="1133"/>
      <c r="L11" s="1133"/>
      <c r="M11" s="1133"/>
      <c r="N11" s="769">
        <f>+SUMIF(Manual!$2:$2,N$4,Manual!$50:$50)</f>
        <v>1038.864</v>
      </c>
      <c r="O11" s="768">
        <f>+SUMIF(Manual!$2:$2,O$4,Manual!$50:$50)</f>
        <v>1178.6500000000001</v>
      </c>
      <c r="P11" s="768">
        <f>+SUMIF(Manual!$2:$2,P$4,Manual!$50:$50)</f>
        <v>1180.6210000000001</v>
      </c>
      <c r="Q11" s="768">
        <f>+SUMIF(Manual!$2:$2,Q$4,Manual!$50:$50)</f>
        <v>1375.2660000000001</v>
      </c>
      <c r="R11" s="769">
        <f>+SUMIF(Manual!$2:$2,R$4,Manual!$50:$50)</f>
        <v>1383.5550000000001</v>
      </c>
      <c r="S11" s="768">
        <f>+SUMIF(Manual!$2:$2,S$4,Manual!$50:$50)</f>
        <v>1387.7920000000001</v>
      </c>
      <c r="T11" s="768"/>
      <c r="U11" s="768"/>
      <c r="V11" s="770"/>
      <c r="W11" s="771"/>
      <c r="X11" s="768">
        <f t="shared" si="0"/>
        <v>209.14200000000005</v>
      </c>
      <c r="Y11" s="928">
        <f t="shared" si="1"/>
        <v>0.17744198871590383</v>
      </c>
      <c r="Z11" s="772"/>
      <c r="AA11" s="771"/>
      <c r="AB11" s="768">
        <f t="shared" si="3"/>
        <v>2217.5140000000001</v>
      </c>
      <c r="AC11" s="768">
        <f t="shared" si="4"/>
        <v>2771.3470000000002</v>
      </c>
      <c r="AD11" s="770"/>
      <c r="AE11" s="771"/>
      <c r="AF11" s="768">
        <f t="shared" si="5"/>
        <v>553.83300000000008</v>
      </c>
      <c r="AG11" s="928">
        <f t="shared" si="2"/>
        <v>0.24975400380786775</v>
      </c>
      <c r="AH11" s="773"/>
      <c r="AJ11" s="728"/>
      <c r="AK11" s="728"/>
      <c r="AL11" s="728"/>
      <c r="AM11" s="728"/>
    </row>
    <row r="12" spans="1:39" s="774" customFormat="1" ht="15" customHeight="1">
      <c r="A12" s="767"/>
      <c r="B12" s="767"/>
      <c r="C12" s="767"/>
      <c r="D12" s="767"/>
      <c r="E12" s="767"/>
      <c r="F12" s="767"/>
      <c r="G12" s="972"/>
      <c r="H12" s="147"/>
      <c r="I12" s="147"/>
      <c r="J12" s="147"/>
      <c r="K12" s="1133" t="s">
        <v>273</v>
      </c>
      <c r="L12" s="1133"/>
      <c r="M12" s="1133"/>
      <c r="N12" s="776">
        <f t="shared" ref="N12:Q12" si="6">SUM(N8:N11)</f>
        <v>2648.5909999999999</v>
      </c>
      <c r="O12" s="775">
        <f t="shared" si="6"/>
        <v>2684.1590000000001</v>
      </c>
      <c r="P12" s="775">
        <f t="shared" si="6"/>
        <v>2737.4</v>
      </c>
      <c r="Q12" s="775">
        <f t="shared" si="6"/>
        <v>2981.3789999999999</v>
      </c>
      <c r="R12" s="776">
        <f t="shared" ref="R12:S12" si="7">SUM(R8:R11)</f>
        <v>3156.23</v>
      </c>
      <c r="S12" s="775">
        <f t="shared" si="7"/>
        <v>3137.8150000000005</v>
      </c>
      <c r="T12" s="775"/>
      <c r="U12" s="775"/>
      <c r="V12" s="770"/>
      <c r="W12" s="771"/>
      <c r="X12" s="775">
        <f t="shared" si="0"/>
        <v>453.6560000000004</v>
      </c>
      <c r="Y12" s="904">
        <f t="shared" si="1"/>
        <v>0.16901234241339666</v>
      </c>
      <c r="Z12" s="772"/>
      <c r="AA12" s="771"/>
      <c r="AB12" s="775">
        <f t="shared" si="3"/>
        <v>5332.75</v>
      </c>
      <c r="AC12" s="775">
        <f t="shared" si="4"/>
        <v>6294.0450000000001</v>
      </c>
      <c r="AD12" s="770"/>
      <c r="AE12" s="771"/>
      <c r="AF12" s="775">
        <f t="shared" si="5"/>
        <v>961.29500000000007</v>
      </c>
      <c r="AG12" s="904">
        <f t="shared" si="2"/>
        <v>0.18026252871407811</v>
      </c>
      <c r="AH12" s="773"/>
      <c r="AJ12" s="728"/>
      <c r="AK12" s="728"/>
      <c r="AL12" s="728"/>
      <c r="AM12" s="728"/>
    </row>
    <row r="13" spans="1:39" s="774" customFormat="1" ht="15" customHeight="1">
      <c r="A13" s="767"/>
      <c r="B13" s="767"/>
      <c r="C13" s="767"/>
      <c r="D13" s="767"/>
      <c r="E13" s="767"/>
      <c r="F13" s="767"/>
      <c r="G13" s="972"/>
      <c r="H13" s="147"/>
      <c r="I13" s="1133" t="s">
        <v>274</v>
      </c>
      <c r="J13" s="1133"/>
      <c r="K13" s="1133"/>
      <c r="L13" s="1133"/>
      <c r="M13" s="1133"/>
      <c r="N13" s="769">
        <f>+SUMIF(Manual!$2:$2,N$4,Manual!$52:$52)</f>
        <v>596.66600000000005</v>
      </c>
      <c r="O13" s="768">
        <f>+SUMIF(Manual!$2:$2,O$4,Manual!$52:$52)</f>
        <v>634.08399999999995</v>
      </c>
      <c r="P13" s="768">
        <f>+SUMIF(Manual!$2:$2,P$4,Manual!$52:$52)</f>
        <v>717.23099999999999</v>
      </c>
      <c r="Q13" s="768">
        <f>+SUMIF(Manual!$2:$2,Q$4,Manual!$52:$52)</f>
        <v>822.505</v>
      </c>
      <c r="R13" s="769">
        <f>+SUMIF(Manual!$2:$2,R$4,Manual!$52:$52)</f>
        <v>821.49300000000005</v>
      </c>
      <c r="S13" s="768">
        <f>+SUMIF(Manual!$2:$2,S$4,Manual!$52:$52)</f>
        <v>903.63400000000001</v>
      </c>
      <c r="T13" s="768"/>
      <c r="U13" s="768"/>
      <c r="V13" s="770"/>
      <c r="W13" s="771"/>
      <c r="X13" s="768">
        <f t="shared" si="0"/>
        <v>269.55000000000007</v>
      </c>
      <c r="Y13" s="926">
        <f t="shared" si="1"/>
        <v>0.42510140612284825</v>
      </c>
      <c r="Z13" s="772"/>
      <c r="AA13" s="771"/>
      <c r="AB13" s="768">
        <f t="shared" si="3"/>
        <v>1230.75</v>
      </c>
      <c r="AC13" s="768">
        <f t="shared" si="4"/>
        <v>1725.127</v>
      </c>
      <c r="AD13" s="770"/>
      <c r="AE13" s="771"/>
      <c r="AF13" s="768">
        <f t="shared" si="5"/>
        <v>494.37699999999995</v>
      </c>
      <c r="AG13" s="928">
        <f t="shared" si="2"/>
        <v>0.40168758886857603</v>
      </c>
      <c r="AH13" s="773"/>
      <c r="AJ13" s="728"/>
      <c r="AK13" s="728"/>
      <c r="AL13" s="728"/>
      <c r="AM13" s="728"/>
    </row>
    <row r="14" spans="1:39" s="774" customFormat="1" ht="15" customHeight="1">
      <c r="A14" s="767"/>
      <c r="B14" s="767"/>
      <c r="C14" s="767"/>
      <c r="D14" s="767"/>
      <c r="E14" s="767"/>
      <c r="F14" s="767"/>
      <c r="G14" s="972"/>
      <c r="H14" s="147"/>
      <c r="I14" s="1133" t="s">
        <v>275</v>
      </c>
      <c r="J14" s="1133"/>
      <c r="K14" s="1133"/>
      <c r="L14" s="1133"/>
      <c r="M14" s="1133"/>
      <c r="N14" s="769">
        <f>+SUMIF(Manual!$2:$2,N$4,Manual!$53:$53)</f>
        <v>296.37599999999998</v>
      </c>
      <c r="O14" s="768">
        <f>+SUMIF(Manual!$2:$2,O$4,Manual!$53:$53)</f>
        <v>218.637</v>
      </c>
      <c r="P14" s="768">
        <f>+SUMIF(Manual!$2:$2,P$4,Manual!$53:$53)</f>
        <v>244.70500000000001</v>
      </c>
      <c r="Q14" s="768">
        <f>+SUMIF(Manual!$2:$2,Q$4,Manual!$53:$53)</f>
        <v>261.58499999999998</v>
      </c>
      <c r="R14" s="769">
        <f>+SUMIF(Manual!$2:$2,R$4,Manual!$53:$53)</f>
        <v>313.76799999999997</v>
      </c>
      <c r="S14" s="768">
        <f>+SUMIF(Manual!$2:$2,S$4,Manual!$53:$53)</f>
        <v>282.00799999999998</v>
      </c>
      <c r="T14" s="768"/>
      <c r="U14" s="768"/>
      <c r="V14" s="770"/>
      <c r="W14" s="771"/>
      <c r="X14" s="768">
        <f t="shared" si="0"/>
        <v>63.370999999999981</v>
      </c>
      <c r="Y14" s="928">
        <f t="shared" si="1"/>
        <v>0.28984572602075576</v>
      </c>
      <c r="Z14" s="772"/>
      <c r="AA14" s="771"/>
      <c r="AB14" s="768">
        <f t="shared" si="3"/>
        <v>515.01299999999992</v>
      </c>
      <c r="AC14" s="768">
        <f t="shared" si="4"/>
        <v>595.77599999999995</v>
      </c>
      <c r="AD14" s="770"/>
      <c r="AE14" s="771"/>
      <c r="AF14" s="768">
        <f t="shared" si="5"/>
        <v>80.763000000000034</v>
      </c>
      <c r="AG14" s="928">
        <f t="shared" si="2"/>
        <v>0.15681740072580702</v>
      </c>
      <c r="AH14" s="773"/>
      <c r="AJ14" s="728"/>
      <c r="AK14" s="728"/>
      <c r="AL14" s="728"/>
      <c r="AM14" s="728"/>
    </row>
    <row r="15" spans="1:39" s="774" customFormat="1" ht="15" customHeight="1">
      <c r="A15" s="767"/>
      <c r="B15" s="767"/>
      <c r="C15" s="767"/>
      <c r="D15" s="767"/>
      <c r="E15" s="767"/>
      <c r="F15" s="767"/>
      <c r="G15" s="972"/>
      <c r="H15" s="147"/>
      <c r="I15" s="1133" t="s">
        <v>276</v>
      </c>
      <c r="J15" s="1133"/>
      <c r="K15" s="1133"/>
      <c r="L15" s="1133"/>
      <c r="M15" s="1133"/>
      <c r="N15" s="769">
        <f>+SUMIF(Manual!$2:$2,N$4,Manual!$54:$54)</f>
        <v>17.716000000000001</v>
      </c>
      <c r="O15" s="768">
        <f>+SUMIF(Manual!$2:$2,O$4,Manual!$54:$54)</f>
        <v>11.492000000000001</v>
      </c>
      <c r="P15" s="768">
        <f>+SUMIF(Manual!$2:$2,P$4,Manual!$54:$54)</f>
        <v>12.574</v>
      </c>
      <c r="Q15" s="768">
        <f>+SUMIF(Manual!$2:$2,Q$4,Manual!$54:$54)</f>
        <v>45.084000000000003</v>
      </c>
      <c r="R15" s="769">
        <f>+SUMIF(Manual!$2:$2,R$4,Manual!$54:$54)</f>
        <v>40.271999999999998</v>
      </c>
      <c r="S15" s="768">
        <f>+SUMIF(Manual!$2:$2,S$4,Manual!$54:$54)</f>
        <v>33.865000000000002</v>
      </c>
      <c r="T15" s="768"/>
      <c r="U15" s="768"/>
      <c r="V15" s="770"/>
      <c r="W15" s="771"/>
      <c r="X15" s="768">
        <f t="shared" si="0"/>
        <v>22.373000000000001</v>
      </c>
      <c r="Y15" s="928" t="str">
        <f t="shared" si="1"/>
        <v>nm</v>
      </c>
      <c r="Z15" s="772"/>
      <c r="AA15" s="771"/>
      <c r="AB15" s="768">
        <f t="shared" si="3"/>
        <v>29.208000000000002</v>
      </c>
      <c r="AC15" s="768">
        <f t="shared" si="4"/>
        <v>74.137</v>
      </c>
      <c r="AD15" s="770"/>
      <c r="AE15" s="771"/>
      <c r="AF15" s="768">
        <f t="shared" si="5"/>
        <v>44.929000000000002</v>
      </c>
      <c r="AG15" s="928" t="str">
        <f t="shared" si="2"/>
        <v>nm</v>
      </c>
      <c r="AH15" s="773"/>
      <c r="AJ15" s="728"/>
      <c r="AK15" s="728"/>
      <c r="AL15" s="728"/>
      <c r="AM15" s="728"/>
    </row>
    <row r="16" spans="1:39" s="728" customFormat="1" ht="15" thickBot="1">
      <c r="A16" s="721"/>
      <c r="B16" s="721"/>
      <c r="C16" s="721"/>
      <c r="D16" s="721"/>
      <c r="E16" s="721"/>
      <c r="F16" s="721"/>
      <c r="G16" s="972"/>
      <c r="H16" s="147"/>
      <c r="I16" s="147"/>
      <c r="J16" s="147"/>
      <c r="K16" s="1133" t="s">
        <v>277</v>
      </c>
      <c r="L16" s="1133"/>
      <c r="M16" s="1133"/>
      <c r="N16" s="730">
        <f t="shared" ref="N16:Q16" si="8">SUM(N12:N15)</f>
        <v>3559.3489999999997</v>
      </c>
      <c r="O16" s="729">
        <f t="shared" si="8"/>
        <v>3548.3720000000003</v>
      </c>
      <c r="P16" s="729">
        <f t="shared" si="8"/>
        <v>3711.9100000000003</v>
      </c>
      <c r="Q16" s="729">
        <f t="shared" si="8"/>
        <v>4110.5529999999999</v>
      </c>
      <c r="R16" s="730">
        <f t="shared" ref="R16:S16" si="9">SUM(R12:R15)</f>
        <v>4331.7629999999999</v>
      </c>
      <c r="S16" s="729">
        <f t="shared" si="9"/>
        <v>4357.3220000000001</v>
      </c>
      <c r="T16" s="729"/>
      <c r="U16" s="729"/>
      <c r="V16" s="766"/>
      <c r="W16" s="725"/>
      <c r="X16" s="729">
        <f t="shared" si="0"/>
        <v>808.94999999999982</v>
      </c>
      <c r="Y16" s="905">
        <f t="shared" si="1"/>
        <v>0.2279777881236803</v>
      </c>
      <c r="Z16" s="726"/>
      <c r="AA16" s="725"/>
      <c r="AB16" s="729">
        <f t="shared" si="3"/>
        <v>7107.7209999999995</v>
      </c>
      <c r="AC16" s="729">
        <f t="shared" si="4"/>
        <v>8689.0849999999991</v>
      </c>
      <c r="AD16" s="766"/>
      <c r="AE16" s="725"/>
      <c r="AF16" s="729">
        <f t="shared" si="5"/>
        <v>1581.3639999999996</v>
      </c>
      <c r="AG16" s="905">
        <f t="shared" si="2"/>
        <v>0.22248537892806985</v>
      </c>
      <c r="AH16" s="727"/>
    </row>
    <row r="17" spans="1:39" ht="15" customHeight="1" thickTop="1">
      <c r="G17" s="972"/>
      <c r="H17" s="147"/>
      <c r="I17" s="147"/>
      <c r="J17" s="147"/>
      <c r="K17" s="975"/>
      <c r="L17" s="147"/>
      <c r="M17" s="147"/>
      <c r="N17" s="315"/>
      <c r="O17" s="314"/>
      <c r="P17" s="314"/>
      <c r="Q17" s="314"/>
      <c r="R17" s="315"/>
      <c r="S17" s="314"/>
      <c r="T17" s="314"/>
      <c r="U17" s="314"/>
      <c r="V17" s="307"/>
      <c r="W17" s="301"/>
      <c r="X17" s="314"/>
      <c r="Y17" s="902"/>
      <c r="Z17" s="262"/>
      <c r="AA17" s="257"/>
      <c r="AB17" s="314"/>
      <c r="AC17" s="314"/>
      <c r="AD17" s="307"/>
      <c r="AE17" s="301"/>
      <c r="AF17" s="314"/>
      <c r="AG17" s="902"/>
      <c r="AH17"/>
      <c r="AJ17" s="728"/>
      <c r="AK17" s="728"/>
      <c r="AL17" s="728"/>
      <c r="AM17" s="728"/>
    </row>
    <row r="18" spans="1:39" s="728" customFormat="1" ht="15" customHeight="1">
      <c r="A18" s="721"/>
      <c r="B18" s="721"/>
      <c r="C18" s="721"/>
      <c r="D18" s="721"/>
      <c r="E18" s="721"/>
      <c r="F18" s="721"/>
      <c r="G18" s="972"/>
      <c r="H18" s="147"/>
      <c r="I18" s="1133" t="s">
        <v>278</v>
      </c>
      <c r="J18" s="1133"/>
      <c r="K18" s="1133"/>
      <c r="L18" s="1133"/>
      <c r="M18" s="1133"/>
      <c r="N18" s="723">
        <f t="shared" ref="N18:Q18" si="10">+N9+N14</f>
        <v>517.08199999999999</v>
      </c>
      <c r="O18" s="722">
        <f t="shared" si="10"/>
        <v>387.11</v>
      </c>
      <c r="P18" s="722">
        <f t="shared" si="10"/>
        <v>430.42500000000001</v>
      </c>
      <c r="Q18" s="722">
        <f t="shared" si="10"/>
        <v>474.46199999999999</v>
      </c>
      <c r="R18" s="723">
        <f t="shared" ref="R18:S18" si="11">+R9+R14</f>
        <v>548.95399999999995</v>
      </c>
      <c r="S18" s="722">
        <f t="shared" si="11"/>
        <v>481.18799999999999</v>
      </c>
      <c r="T18" s="722"/>
      <c r="U18" s="722"/>
      <c r="V18" s="722"/>
      <c r="W18" s="723"/>
      <c r="X18" s="722">
        <f>+SUMIF($N$4:$U$4,$B$1,$N18:$U18)-SUMIF($N$4:$U$4,$A$1,$N18:$U18)</f>
        <v>94.077999999999975</v>
      </c>
      <c r="Y18" s="926">
        <f>IF(OR(ABS(IF(X18&lt;0,-ABS(X18/SUMIF($N$4:$U$4,$A$1,$N18:$U18)),ABS(X18/SUMIF($N$4:$U$4,$A$1,$N18:$U18))))&lt;minvar,ABS(IF(X18&lt;0,-ABS(X18/SUMIF($N$4:$U$4,$A$1,$N18:$U18)),ABS(X18/SUMIF($N$4:$U$4,$A$1,$N18:$U18))))&gt;maxvar)=TRUE,"nm",IF(X18&lt;0,-ABS(X18/SUMIF($N$4:$U$4,$A$1,$N18:$U18)),ABS(X18/SUMIF($N$4:$U$4,$A$1,$N18:$U18))))</f>
        <v>0.24302652992689408</v>
      </c>
      <c r="Z18" s="726"/>
      <c r="AA18" s="725"/>
      <c r="AB18" s="722">
        <f t="shared" ref="AB18:AB22" si="12">+SUMIF($N$71:$Q$71,"Yes",$N18:$Q18)</f>
        <v>904.19200000000001</v>
      </c>
      <c r="AC18" s="722">
        <f t="shared" ref="AC18:AC22" si="13">+SUMIF($R$71:$U$71,"Yes",$R18:$U18)</f>
        <v>1030.1419999999998</v>
      </c>
      <c r="AD18" s="766"/>
      <c r="AE18" s="725"/>
      <c r="AF18" s="722">
        <f t="shared" ref="AF18:AF22" si="14">+$AC18-$AB18</f>
        <v>125.94999999999982</v>
      </c>
      <c r="AG18" s="926">
        <f>IF(OR(ABS(IF(AF18&lt;0,-ABS(AF18/$AB18),ABS(AF18/$AB18)))&lt;minvar,ABS(IF(AF18&lt;0,-ABS(AF18/$AB18),ABS(AF18/$AB18)))&gt;maxvar)=TRUE,"nm",IF(AF18&lt;0,-ABS(AF18/$AB18),ABS(AF18/$AB18)))</f>
        <v>0.13929563632502812</v>
      </c>
      <c r="AH18" s="727"/>
    </row>
    <row r="19" spans="1:39" s="774" customFormat="1" ht="14.4">
      <c r="A19" s="767"/>
      <c r="B19" s="767"/>
      <c r="C19" s="767"/>
      <c r="D19" s="767"/>
      <c r="E19" s="767"/>
      <c r="F19" s="767"/>
      <c r="G19" s="972"/>
      <c r="H19" s="147"/>
      <c r="I19" s="1133" t="s">
        <v>276</v>
      </c>
      <c r="J19" s="1133"/>
      <c r="K19" s="1133"/>
      <c r="L19" s="1133"/>
      <c r="M19" s="1133"/>
      <c r="N19" s="769">
        <f t="shared" ref="N19:Q19" si="15">+N15</f>
        <v>17.716000000000001</v>
      </c>
      <c r="O19" s="768">
        <f t="shared" si="15"/>
        <v>11.492000000000001</v>
      </c>
      <c r="P19" s="768">
        <f t="shared" si="15"/>
        <v>12.574</v>
      </c>
      <c r="Q19" s="768">
        <f t="shared" si="15"/>
        <v>45.084000000000003</v>
      </c>
      <c r="R19" s="769">
        <f t="shared" ref="R19:S19" si="16">+R15</f>
        <v>40.271999999999998</v>
      </c>
      <c r="S19" s="768">
        <f t="shared" si="16"/>
        <v>33.865000000000002</v>
      </c>
      <c r="T19" s="768"/>
      <c r="U19" s="768"/>
      <c r="V19" s="770"/>
      <c r="W19" s="771"/>
      <c r="X19" s="768">
        <f>+SUMIF($N$4:$U$4,$B$1,$N19:$U19)-SUMIF($N$4:$U$4,$A$1,$N19:$U19)</f>
        <v>22.373000000000001</v>
      </c>
      <c r="Y19" s="928" t="str">
        <f>IF(OR(ABS(IF(X19&lt;0,-ABS(X19/SUMIF($N$4:$U$4,$A$1,$N19:$U19)),ABS(X19/SUMIF($N$4:$U$4,$A$1,$N19:$U19))))&lt;minvar,ABS(IF(X19&lt;0,-ABS(X19/SUMIF($N$4:$U$4,$A$1,$N19:$U19)),ABS(X19/SUMIF($N$4:$U$4,$A$1,$N19:$U19))))&gt;maxvar)=TRUE,"nm",IF(X19&lt;0,-ABS(X19/SUMIF($N$4:$U$4,$A$1,$N19:$U19)),ABS(X19/SUMIF($N$4:$U$4,$A$1,$N19:$U19))))</f>
        <v>nm</v>
      </c>
      <c r="Z19" s="772"/>
      <c r="AA19" s="771"/>
      <c r="AB19" s="768">
        <f t="shared" si="12"/>
        <v>29.208000000000002</v>
      </c>
      <c r="AC19" s="768">
        <f t="shared" si="13"/>
        <v>74.137</v>
      </c>
      <c r="AD19" s="770"/>
      <c r="AE19" s="771"/>
      <c r="AF19" s="768">
        <f t="shared" si="14"/>
        <v>44.929000000000002</v>
      </c>
      <c r="AG19" s="928" t="str">
        <f>IF(OR(ABS(IF(AF19&lt;0,-ABS(AF19/$AB19),ABS(AF19/$AB19)))&lt;minvar,ABS(IF(AF19&lt;0,-ABS(AF19/$AB19),ABS(AF19/$AB19)))&gt;maxvar)=TRUE,"nm",IF(AF19&lt;0,-ABS(AF19/$AB19),ABS(AF19/$AB19)))</f>
        <v>nm</v>
      </c>
      <c r="AH19" s="773"/>
      <c r="AJ19" s="728"/>
      <c r="AK19" s="728"/>
      <c r="AL19" s="728"/>
      <c r="AM19" s="728"/>
    </row>
    <row r="20" spans="1:39" s="774" customFormat="1" ht="15" customHeight="1">
      <c r="A20" s="767"/>
      <c r="B20" s="767"/>
      <c r="C20" s="767"/>
      <c r="D20" s="767"/>
      <c r="E20" s="767"/>
      <c r="F20" s="767"/>
      <c r="G20" s="972"/>
      <c r="H20" s="147"/>
      <c r="I20" s="147"/>
      <c r="J20" s="1133" t="s">
        <v>279</v>
      </c>
      <c r="K20" s="1133"/>
      <c r="L20" s="1133"/>
      <c r="M20" s="1133"/>
      <c r="N20" s="776">
        <f t="shared" ref="N20:Q20" si="17">SUM(N18:N19)</f>
        <v>534.798</v>
      </c>
      <c r="O20" s="775">
        <f t="shared" si="17"/>
        <v>398.60200000000003</v>
      </c>
      <c r="P20" s="775">
        <f t="shared" si="17"/>
        <v>442.99900000000002</v>
      </c>
      <c r="Q20" s="775">
        <f t="shared" si="17"/>
        <v>519.54600000000005</v>
      </c>
      <c r="R20" s="776">
        <f t="shared" ref="R20:S20" si="18">SUM(R18:R19)</f>
        <v>589.226</v>
      </c>
      <c r="S20" s="775">
        <f t="shared" si="18"/>
        <v>515.053</v>
      </c>
      <c r="T20" s="775"/>
      <c r="U20" s="775"/>
      <c r="V20" s="770"/>
      <c r="W20" s="771"/>
      <c r="X20" s="775">
        <f>+SUMIF($N$4:$U$4,$B$1,$N20:$U20)-SUMIF($N$4:$U$4,$A$1,$N20:$U20)</f>
        <v>116.45099999999996</v>
      </c>
      <c r="Y20" s="904">
        <f>IF(OR(ABS(IF(X20&lt;0,-ABS(X20/SUMIF($N$4:$U$4,$A$1,$N20:$U20)),ABS(X20/SUMIF($N$4:$U$4,$A$1,$N20:$U20))))&lt;minvar,ABS(IF(X20&lt;0,-ABS(X20/SUMIF($N$4:$U$4,$A$1,$N20:$U20)),ABS(X20/SUMIF($N$4:$U$4,$A$1,$N20:$U20))))&gt;maxvar)=TRUE,"nm",IF(X20&lt;0,-ABS(X20/SUMIF($N$4:$U$4,$A$1,$N20:$U20)),ABS(X20/SUMIF($N$4:$U$4,$A$1,$N20:$U20))))</f>
        <v>0.29214855921445443</v>
      </c>
      <c r="Z20" s="772"/>
      <c r="AA20" s="771"/>
      <c r="AB20" s="775">
        <f t="shared" si="12"/>
        <v>933.40000000000009</v>
      </c>
      <c r="AC20" s="775">
        <f t="shared" si="13"/>
        <v>1104.279</v>
      </c>
      <c r="AD20" s="770"/>
      <c r="AE20" s="771"/>
      <c r="AF20" s="775">
        <f t="shared" si="14"/>
        <v>170.87899999999991</v>
      </c>
      <c r="AG20" s="904">
        <f>IF(OR(ABS(IF(AF20&lt;0,-ABS(AF20/$AB20),ABS(AF20/$AB20)))&lt;minvar,ABS(IF(AF20&lt;0,-ABS(AF20/$AB20),ABS(AF20/$AB20)))&gt;maxvar)=TRUE,"nm",IF(AF20&lt;0,-ABS(AF20/$AB20),ABS(AF20/$AB20)))</f>
        <v>0.18307156631669155</v>
      </c>
      <c r="AH20" s="773"/>
      <c r="AJ20" s="728"/>
      <c r="AK20" s="728"/>
      <c r="AL20" s="728"/>
      <c r="AM20" s="728"/>
    </row>
    <row r="21" spans="1:39" s="774" customFormat="1" ht="15" customHeight="1">
      <c r="A21" s="767"/>
      <c r="B21" s="767"/>
      <c r="C21" s="767"/>
      <c r="D21" s="767"/>
      <c r="E21" s="767"/>
      <c r="F21" s="767"/>
      <c r="G21" s="972"/>
      <c r="H21" s="147"/>
      <c r="I21" s="147"/>
      <c r="J21" s="1133" t="s">
        <v>280</v>
      </c>
      <c r="K21" s="1133"/>
      <c r="L21" s="1133"/>
      <c r="M21" s="1133"/>
      <c r="N21" s="769">
        <f t="shared" ref="N21:Q21" si="19">+N22-N20</f>
        <v>3024.5509999999995</v>
      </c>
      <c r="O21" s="768">
        <f t="shared" si="19"/>
        <v>3149.7700000000004</v>
      </c>
      <c r="P21" s="768">
        <f t="shared" si="19"/>
        <v>3268.9110000000001</v>
      </c>
      <c r="Q21" s="768">
        <f t="shared" si="19"/>
        <v>3591.0069999999996</v>
      </c>
      <c r="R21" s="769">
        <f t="shared" ref="R21:S21" si="20">+R22-R20</f>
        <v>3742.5369999999998</v>
      </c>
      <c r="S21" s="768">
        <f t="shared" si="20"/>
        <v>3842.2690000000002</v>
      </c>
      <c r="T21" s="768"/>
      <c r="U21" s="768"/>
      <c r="V21" s="770"/>
      <c r="W21" s="771"/>
      <c r="X21" s="768">
        <f>+SUMIF($N$4:$U$4,$B$1,$N21:$U21)-SUMIF($N$4:$U$4,$A$1,$N21:$U21)</f>
        <v>692.4989999999998</v>
      </c>
      <c r="Y21" s="928">
        <f>IF(OR(ABS(IF(X21&lt;0,-ABS(X21/SUMIF($N$4:$U$4,$A$1,$N21:$U21)),ABS(X21/SUMIF($N$4:$U$4,$A$1,$N21:$U21))))&lt;minvar,ABS(IF(X21&lt;0,-ABS(X21/SUMIF($N$4:$U$4,$A$1,$N21:$U21)),ABS(X21/SUMIF($N$4:$U$4,$A$1,$N21:$U21))))&gt;maxvar)=TRUE,"nm",IF(X21&lt;0,-ABS(X21/SUMIF($N$4:$U$4,$A$1,$N21:$U21)),ABS(X21/SUMIF($N$4:$U$4,$A$1,$N21:$U21))))</f>
        <v>0.21985700543214257</v>
      </c>
      <c r="Z21" s="772"/>
      <c r="AA21" s="771"/>
      <c r="AB21" s="768">
        <f t="shared" si="12"/>
        <v>6174.3209999999999</v>
      </c>
      <c r="AC21" s="768">
        <f t="shared" si="13"/>
        <v>7584.8060000000005</v>
      </c>
      <c r="AD21" s="770"/>
      <c r="AE21" s="771"/>
      <c r="AF21" s="768">
        <f t="shared" si="14"/>
        <v>1410.4850000000006</v>
      </c>
      <c r="AG21" s="928">
        <f>IF(OR(ABS(IF(AF21&lt;0,-ABS(AF21/$AB21),ABS(AF21/$AB21)))&lt;minvar,ABS(IF(AF21&lt;0,-ABS(AF21/$AB21),ABS(AF21/$AB21)))&gt;maxvar)=TRUE,"nm",IF(AF21&lt;0,-ABS(AF21/$AB21),ABS(AF21/$AB21)))</f>
        <v>0.22844374304478188</v>
      </c>
      <c r="AH21" s="773"/>
      <c r="AJ21" s="728"/>
      <c r="AK21" s="728"/>
      <c r="AL21" s="728"/>
      <c r="AM21" s="728"/>
    </row>
    <row r="22" spans="1:39" s="728" customFormat="1" ht="15" customHeight="1" thickBot="1">
      <c r="A22" s="721"/>
      <c r="B22" s="721"/>
      <c r="C22" s="721"/>
      <c r="D22" s="721"/>
      <c r="E22" s="721"/>
      <c r="F22" s="721"/>
      <c r="G22" s="972"/>
      <c r="H22" s="147"/>
      <c r="I22" s="147"/>
      <c r="J22" s="147"/>
      <c r="K22" s="1133" t="s">
        <v>277</v>
      </c>
      <c r="L22" s="1133"/>
      <c r="M22" s="1133"/>
      <c r="N22" s="730">
        <f t="shared" ref="N22:Q22" si="21">+N16</f>
        <v>3559.3489999999997</v>
      </c>
      <c r="O22" s="729">
        <f t="shared" si="21"/>
        <v>3548.3720000000003</v>
      </c>
      <c r="P22" s="729">
        <f t="shared" si="21"/>
        <v>3711.9100000000003</v>
      </c>
      <c r="Q22" s="729">
        <f t="shared" si="21"/>
        <v>4110.5529999999999</v>
      </c>
      <c r="R22" s="730">
        <f t="shared" ref="R22:S22" si="22">+R16</f>
        <v>4331.7629999999999</v>
      </c>
      <c r="S22" s="729">
        <f t="shared" si="22"/>
        <v>4357.3220000000001</v>
      </c>
      <c r="T22" s="729"/>
      <c r="U22" s="729"/>
      <c r="V22" s="766"/>
      <c r="W22" s="725"/>
      <c r="X22" s="729">
        <f>+SUMIF($N$4:$U$4,$B$1,$N22:$U22)-SUMIF($N$4:$U$4,$A$1,$N22:$U22)</f>
        <v>808.94999999999982</v>
      </c>
      <c r="Y22" s="905">
        <f>IF(OR(ABS(IF(X22&lt;0,-ABS(X22/SUMIF($N$4:$U$4,$A$1,$N22:$U22)),ABS(X22/SUMIF($N$4:$U$4,$A$1,$N22:$U22))))&lt;minvar,ABS(IF(X22&lt;0,-ABS(X22/SUMIF($N$4:$U$4,$A$1,$N22:$U22)),ABS(X22/SUMIF($N$4:$U$4,$A$1,$N22:$U22))))&gt;maxvar)=TRUE,"nm",IF(X22&lt;0,-ABS(X22/SUMIF($N$4:$U$4,$A$1,$N22:$U22)),ABS(X22/SUMIF($N$4:$U$4,$A$1,$N22:$U22))))</f>
        <v>0.2279777881236803</v>
      </c>
      <c r="Z22" s="726"/>
      <c r="AA22" s="725"/>
      <c r="AB22" s="729">
        <f t="shared" si="12"/>
        <v>7107.7209999999995</v>
      </c>
      <c r="AC22" s="729">
        <f t="shared" si="13"/>
        <v>8689.0849999999991</v>
      </c>
      <c r="AD22" s="766"/>
      <c r="AE22" s="725"/>
      <c r="AF22" s="729">
        <f t="shared" si="14"/>
        <v>1581.3639999999996</v>
      </c>
      <c r="AG22" s="905">
        <f>IF(OR(ABS(IF(AF22&lt;0,-ABS(AF22/$AB22),ABS(AF22/$AB22)))&lt;minvar,ABS(IF(AF22&lt;0,-ABS(AF22/$AB22),ABS(AF22/$AB22)))&gt;maxvar)=TRUE,"nm",IF(AF22&lt;0,-ABS(AF22/$AB22),ABS(AF22/$AB22)))</f>
        <v>0.22248537892806985</v>
      </c>
      <c r="AH22" s="727"/>
    </row>
    <row r="23" spans="1:39" ht="15" customHeight="1" thickTop="1">
      <c r="G23" s="972"/>
      <c r="H23" s="147"/>
      <c r="I23" s="147"/>
      <c r="J23" s="147"/>
      <c r="K23" s="147"/>
      <c r="L23" s="147"/>
      <c r="M23" s="147"/>
      <c r="N23" s="303"/>
      <c r="O23" s="175"/>
      <c r="P23" s="175"/>
      <c r="Q23" s="175"/>
      <c r="R23" s="303"/>
      <c r="S23" s="175"/>
      <c r="T23" s="175"/>
      <c r="U23" s="175"/>
      <c r="V23" s="261"/>
      <c r="W23" s="257"/>
      <c r="X23" s="175"/>
      <c r="Y23" s="929"/>
      <c r="Z23" s="262"/>
      <c r="AA23" s="257"/>
      <c r="AB23" s="175"/>
      <c r="AC23" s="175"/>
      <c r="AD23" s="261"/>
      <c r="AE23" s="257"/>
      <c r="AF23" s="175"/>
      <c r="AG23" s="929"/>
      <c r="AH23"/>
      <c r="AJ23" s="728"/>
      <c r="AK23" s="728"/>
      <c r="AL23" s="728"/>
      <c r="AM23" s="728"/>
    </row>
    <row r="24" spans="1:39" s="610" customFormat="1" ht="15" customHeight="1">
      <c r="A24" s="600"/>
      <c r="B24" s="600"/>
      <c r="C24" s="600"/>
      <c r="D24" s="600"/>
      <c r="E24" s="600"/>
      <c r="F24" s="600"/>
      <c r="G24" s="972"/>
      <c r="H24" s="1133" t="s">
        <v>281</v>
      </c>
      <c r="I24" s="1133"/>
      <c r="J24" s="1133"/>
      <c r="K24" s="1133"/>
      <c r="L24" s="1133"/>
      <c r="M24" s="1133"/>
      <c r="N24" s="602">
        <f>+SUMIF(Manual!$2:$2,N$4,Manual!$57:$57)</f>
        <v>112080.68000000001</v>
      </c>
      <c r="O24" s="601">
        <f>+SUMIF(Manual!$2:$2,O$4,Manual!$57:$57)</f>
        <v>109907.61199999999</v>
      </c>
      <c r="P24" s="601">
        <f>+SUMIF(Manual!$2:$2,P$4,Manual!$57:$57)</f>
        <v>120224.48899999999</v>
      </c>
      <c r="Q24" s="601">
        <f>+SUMIF(Manual!$2:$2,Q$4,Manual!$57:$57)</f>
        <v>126793.30399999999</v>
      </c>
      <c r="R24" s="602">
        <f>+SUMIF(Manual!$2:$2,R$4,Manual!$57:$57)</f>
        <v>128890.86199999999</v>
      </c>
      <c r="S24" s="601">
        <f>+SUMIF(Manual!$2:$2,S$4,Manual!$57:$57)</f>
        <v>126761.967</v>
      </c>
      <c r="T24" s="601"/>
      <c r="U24" s="601"/>
      <c r="V24" s="604"/>
      <c r="W24" s="605"/>
      <c r="X24" s="601">
        <f t="shared" ref="X24:X31" si="23">+SUMIF($N$4:$U$4,$B$1,$N24:$U24)-SUMIF($N$4:$U$4,$A$1,$N24:$U24)</f>
        <v>16854.35500000001</v>
      </c>
      <c r="Y24" s="926">
        <f t="shared" ref="Y24:Y30" si="24">IF(OR(ABS(IF(X24&lt;0,-ABS(X24/SUMIF($N$4:$U$4,$A$1,$N24:$U24)),ABS(X24/SUMIF($N$4:$U$4,$A$1,$N24:$U24))))&lt;minvar,ABS(IF(X24&lt;0,-ABS(X24/SUMIF($N$4:$U$4,$A$1,$N24:$U24)),ABS(X24/SUMIF($N$4:$U$4,$A$1,$N24:$U24))))&gt;maxvar)=TRUE,"nm",IF(X24&lt;0,-ABS(X24/SUMIF($N$4:$U$4,$A$1,$N24:$U24)),ABS(X24/SUMIF($N$4:$U$4,$A$1,$N24:$U24))))</f>
        <v>0.15335020653528539</v>
      </c>
      <c r="Z24" s="708"/>
      <c r="AA24" s="605"/>
      <c r="AB24" s="601">
        <f>+N24</f>
        <v>112080.68000000001</v>
      </c>
      <c r="AC24" s="601">
        <f>+R24</f>
        <v>128890.86199999999</v>
      </c>
      <c r="AD24" s="604"/>
      <c r="AE24" s="605"/>
      <c r="AF24" s="601">
        <f t="shared" ref="AF24:AF31" si="25">+$AC24-$AB24</f>
        <v>16810.181999999986</v>
      </c>
      <c r="AG24" s="926">
        <f t="shared" ref="AG24:AG30" si="26">IF(OR(ABS(IF(AF24&lt;0,-ABS(AF24/$AB24),ABS(AF24/$AB24)))&lt;minvar,ABS(IF(AF24&lt;0,-ABS(AF24/$AB24),ABS(AF24/$AB24)))&gt;maxvar)=TRUE,"nm",IF(AF24&lt;0,-ABS(AF24/$AB24),ABS(AF24/$AB24)))</f>
        <v>0.14998286948294734</v>
      </c>
      <c r="AH24" s="609"/>
      <c r="AJ24" s="728"/>
      <c r="AK24" s="728"/>
      <c r="AL24" s="728"/>
      <c r="AM24" s="728"/>
    </row>
    <row r="25" spans="1:39" s="636" customFormat="1" ht="14.4">
      <c r="A25" s="626"/>
      <c r="B25" s="626"/>
      <c r="C25" s="626"/>
      <c r="D25" s="626"/>
      <c r="E25" s="626"/>
      <c r="F25" s="626"/>
      <c r="G25" s="972"/>
      <c r="H25" s="147"/>
      <c r="I25" s="1133" t="s">
        <v>282</v>
      </c>
      <c r="J25" s="1133"/>
      <c r="K25" s="1133"/>
      <c r="L25" s="1133"/>
      <c r="M25" s="1133"/>
      <c r="N25" s="630">
        <f>+SUMIF(Manual!$2:$2,N$4,Manual!$58:$58)</f>
        <v>3559.348</v>
      </c>
      <c r="O25" s="629">
        <f>+SUMIF(Manual!$2:$2,O$4,Manual!$58:$58)</f>
        <v>3548.37</v>
      </c>
      <c r="P25" s="629">
        <f>+SUMIF(Manual!$2:$2,P$4,Manual!$58:$58)</f>
        <v>3711.91</v>
      </c>
      <c r="Q25" s="629">
        <f>+SUMIF(Manual!$2:$2,Q$4,Manual!$58:$58)</f>
        <v>4110.5519999999997</v>
      </c>
      <c r="R25" s="630">
        <f>+SUMIF(Manual!$2:$2,R$4,Manual!$58:$58)</f>
        <v>4331.7640000000001</v>
      </c>
      <c r="S25" s="629">
        <f>+SUMIF(Manual!$2:$2,S$4,Manual!$58:$58)</f>
        <v>4357.3220000000001</v>
      </c>
      <c r="T25" s="629"/>
      <c r="U25" s="629"/>
      <c r="V25" s="633"/>
      <c r="W25" s="634"/>
      <c r="X25" s="629">
        <f t="shared" si="23"/>
        <v>808.95200000000023</v>
      </c>
      <c r="Y25" s="926">
        <f t="shared" si="24"/>
        <v>0.22797848025995041</v>
      </c>
      <c r="Z25" s="718"/>
      <c r="AA25" s="634"/>
      <c r="AB25" s="629">
        <f t="shared" ref="AB25:AB29" si="27">+SUMIF($N$71:$Q$71,"Yes",$N25:$Q25)</f>
        <v>7107.7179999999998</v>
      </c>
      <c r="AC25" s="629">
        <f t="shared" ref="AC25:AC29" si="28">+SUMIF($R$71:$U$71,"Yes",$R25:$U25)</f>
        <v>8689.0859999999993</v>
      </c>
      <c r="AD25" s="633"/>
      <c r="AE25" s="634"/>
      <c r="AF25" s="629">
        <f t="shared" si="25"/>
        <v>1581.3679999999995</v>
      </c>
      <c r="AG25" s="926">
        <f t="shared" si="26"/>
        <v>0.22248603560242536</v>
      </c>
      <c r="AH25" s="635"/>
      <c r="AJ25" s="728"/>
      <c r="AK25" s="728"/>
      <c r="AL25" s="728"/>
      <c r="AM25" s="728"/>
    </row>
    <row r="26" spans="1:39" s="636" customFormat="1" ht="14.4">
      <c r="A26" s="626"/>
      <c r="B26" s="626"/>
      <c r="C26" s="626"/>
      <c r="D26" s="626"/>
      <c r="E26" s="626"/>
      <c r="F26" s="626"/>
      <c r="G26" s="972"/>
      <c r="H26" s="147"/>
      <c r="I26" s="1137" t="s">
        <v>283</v>
      </c>
      <c r="J26" s="1133"/>
      <c r="K26" s="1133"/>
      <c r="L26" s="1133"/>
      <c r="M26" s="1133"/>
      <c r="N26" s="630">
        <f>+SUMIF(Manual!$2:$2,N$4,Manual!$59:$59)</f>
        <v>-3016.933</v>
      </c>
      <c r="O26" s="629">
        <f>+SUMIF(Manual!$2:$2,O$4,Manual!$59:$59)</f>
        <v>-3061.8560000000002</v>
      </c>
      <c r="P26" s="629">
        <f>+SUMIF(Manual!$2:$2,P$4,Manual!$59:$59)</f>
        <v>-3348.8960000000002</v>
      </c>
      <c r="Q26" s="629">
        <f>+SUMIF(Manual!$2:$2,Q$4,Manual!$59:$59)</f>
        <v>-3785.7530000000002</v>
      </c>
      <c r="R26" s="630">
        <f>+SUMIF(Manual!$2:$2,R$4,Manual!$59:$59)</f>
        <v>-3969.6350000000002</v>
      </c>
      <c r="S26" s="629">
        <f>+SUMIF(Manual!$2:$2,S$4,Manual!$59:$59)</f>
        <v>-3960.7579999999998</v>
      </c>
      <c r="T26" s="632"/>
      <c r="U26" s="632"/>
      <c r="V26" s="633"/>
      <c r="W26" s="634"/>
      <c r="X26" s="629">
        <f t="shared" si="23"/>
        <v>-898.90199999999959</v>
      </c>
      <c r="Y26" s="926">
        <f t="shared" si="24"/>
        <v>-0.2935807562471911</v>
      </c>
      <c r="Z26" s="718"/>
      <c r="AA26" s="634"/>
      <c r="AB26" s="629">
        <f t="shared" si="27"/>
        <v>-6078.7890000000007</v>
      </c>
      <c r="AC26" s="629">
        <f t="shared" si="28"/>
        <v>-7930.393</v>
      </c>
      <c r="AD26" s="633"/>
      <c r="AE26" s="634"/>
      <c r="AF26" s="629">
        <f t="shared" si="25"/>
        <v>-1851.6039999999994</v>
      </c>
      <c r="AG26" s="926">
        <f t="shared" si="26"/>
        <v>-0.30460080124511629</v>
      </c>
      <c r="AH26" s="635"/>
      <c r="AJ26" s="728"/>
      <c r="AK26" s="728"/>
      <c r="AL26" s="728"/>
      <c r="AM26" s="728"/>
    </row>
    <row r="27" spans="1:39" s="636" customFormat="1" ht="14.4">
      <c r="A27" s="626"/>
      <c r="B27" s="626"/>
      <c r="C27" s="626"/>
      <c r="D27" s="626"/>
      <c r="E27" s="626"/>
      <c r="F27" s="626"/>
      <c r="G27" s="972"/>
      <c r="H27" s="147"/>
      <c r="I27" s="147"/>
      <c r="J27" s="147"/>
      <c r="K27" s="1133" t="s">
        <v>284</v>
      </c>
      <c r="L27" s="1133"/>
      <c r="M27" s="1133"/>
      <c r="N27" s="674">
        <f t="shared" ref="N27" si="29">+SUM(N25:N26)</f>
        <v>542.41499999999996</v>
      </c>
      <c r="O27" s="673">
        <f>+SUM(O25:O26)</f>
        <v>486.51399999999967</v>
      </c>
      <c r="P27" s="673">
        <f t="shared" ref="P27:Q27" si="30">+SUM(P25:P26)</f>
        <v>363.01399999999967</v>
      </c>
      <c r="Q27" s="673">
        <f t="shared" si="30"/>
        <v>324.79899999999952</v>
      </c>
      <c r="R27" s="674">
        <f t="shared" ref="R27:S27" si="31">+SUM(R25:R26)</f>
        <v>362.12899999999991</v>
      </c>
      <c r="S27" s="673">
        <f t="shared" si="31"/>
        <v>396.56400000000031</v>
      </c>
      <c r="T27" s="673"/>
      <c r="U27" s="673"/>
      <c r="V27" s="633"/>
      <c r="W27" s="634"/>
      <c r="X27" s="673">
        <f t="shared" si="23"/>
        <v>-89.949999999999363</v>
      </c>
      <c r="Y27" s="930">
        <f t="shared" si="24"/>
        <v>-0.18488676584846361</v>
      </c>
      <c r="Z27" s="718"/>
      <c r="AA27" s="634"/>
      <c r="AB27" s="673">
        <f t="shared" si="27"/>
        <v>1028.9289999999996</v>
      </c>
      <c r="AC27" s="673">
        <f t="shared" si="28"/>
        <v>758.69300000000021</v>
      </c>
      <c r="AD27" s="633"/>
      <c r="AE27" s="634"/>
      <c r="AF27" s="673">
        <f t="shared" si="25"/>
        <v>-270.23599999999942</v>
      </c>
      <c r="AG27" s="930">
        <f t="shared" si="26"/>
        <v>-0.26263814121285289</v>
      </c>
      <c r="AH27" s="635"/>
      <c r="AJ27" s="728"/>
      <c r="AK27" s="728"/>
      <c r="AL27" s="728"/>
      <c r="AM27" s="728"/>
    </row>
    <row r="28" spans="1:39" s="636" customFormat="1" ht="14.4">
      <c r="A28" s="626"/>
      <c r="B28" s="626"/>
      <c r="C28" s="626"/>
      <c r="D28" s="626"/>
      <c r="E28" s="626"/>
      <c r="F28" s="626"/>
      <c r="G28" s="972"/>
      <c r="H28" s="147"/>
      <c r="I28" s="1133" t="s">
        <v>239</v>
      </c>
      <c r="J28" s="1133"/>
      <c r="K28" s="1133"/>
      <c r="L28" s="1133"/>
      <c r="M28" s="1133"/>
      <c r="N28" s="630">
        <f>+SUMIF(Manual!$2:$2,N$4,Manual!$61:$61)</f>
        <v>-12.02</v>
      </c>
      <c r="O28" s="629">
        <f>+SUMIF(Manual!$2:$2,O$4,Manual!$61:$61)</f>
        <v>899.553</v>
      </c>
      <c r="P28" s="629">
        <f>+SUMIF(Manual!$2:$2,P$4,Manual!$61:$61)</f>
        <v>-356.68799999999999</v>
      </c>
      <c r="Q28" s="629">
        <f>+SUMIF(Manual!$2:$2,Q$4,Manual!$61:$61)</f>
        <v>290.10000000000002</v>
      </c>
      <c r="R28" s="630">
        <f>+SUMIF(Manual!$2:$2,R$4,Manual!$61:$61)</f>
        <v>-351.42700000000002</v>
      </c>
      <c r="S28" s="629">
        <f>+SUMIF(Manual!$2:$2,S$4,Manual!$61:$61)</f>
        <v>-318.00599999999997</v>
      </c>
      <c r="T28" s="629"/>
      <c r="U28" s="629"/>
      <c r="V28" s="633"/>
      <c r="W28" s="634"/>
      <c r="X28" s="629">
        <f t="shared" si="23"/>
        <v>-1217.559</v>
      </c>
      <c r="Y28" s="926">
        <f t="shared" si="24"/>
        <v>-1.3535155794044376</v>
      </c>
      <c r="Z28" s="718"/>
      <c r="AA28" s="634"/>
      <c r="AB28" s="629">
        <f t="shared" si="27"/>
        <v>887.53300000000002</v>
      </c>
      <c r="AC28" s="629">
        <f t="shared" si="28"/>
        <v>-669.43299999999999</v>
      </c>
      <c r="AD28" s="633"/>
      <c r="AE28" s="634"/>
      <c r="AF28" s="629">
        <f t="shared" si="25"/>
        <v>-1556.9659999999999</v>
      </c>
      <c r="AG28" s="926" t="str">
        <f t="shared" si="26"/>
        <v>nm</v>
      </c>
      <c r="AH28" s="635"/>
      <c r="AJ28" s="728"/>
      <c r="AK28" s="728"/>
      <c r="AL28" s="728"/>
      <c r="AM28" s="728"/>
    </row>
    <row r="29" spans="1:39" s="636" customFormat="1" ht="14.4">
      <c r="A29" s="626"/>
      <c r="B29" s="626"/>
      <c r="C29" s="626"/>
      <c r="D29" s="626"/>
      <c r="E29" s="626"/>
      <c r="F29" s="626"/>
      <c r="G29" s="972"/>
      <c r="H29" s="147"/>
      <c r="I29" s="1137" t="s">
        <v>285</v>
      </c>
      <c r="J29" s="1133"/>
      <c r="K29" s="1133"/>
      <c r="L29" s="1133"/>
      <c r="M29" s="1133"/>
      <c r="N29" s="630">
        <f>+SUMIF(Manual!$2:$2,N$4,Manual!$62:$62)</f>
        <v>-2703.4630000000002</v>
      </c>
      <c r="O29" s="629">
        <f>+SUMIF(Manual!$2:$2,O$4,Manual!$62:$62)</f>
        <v>8930.81</v>
      </c>
      <c r="P29" s="629">
        <f>+SUMIF(Manual!$2:$2,P$4,Manual!$62:$62)</f>
        <v>6562.4889999999996</v>
      </c>
      <c r="Q29" s="629">
        <f>+SUMIF(Manual!$2:$2,Q$4,Manual!$62:$62)</f>
        <v>1482.6590000000001</v>
      </c>
      <c r="R29" s="630">
        <f>+SUMIF(Manual!$2:$2,R$4,Manual!$62:$62)</f>
        <v>-2139.5970000000002</v>
      </c>
      <c r="S29" s="629">
        <f>+SUMIF(Manual!$2:$2,S$4,Manual!$62:$62)</f>
        <v>13201.081</v>
      </c>
      <c r="T29" s="632"/>
      <c r="U29" s="632"/>
      <c r="V29" s="633"/>
      <c r="W29" s="634"/>
      <c r="X29" s="629">
        <f t="shared" si="23"/>
        <v>4270.2710000000006</v>
      </c>
      <c r="Y29" s="926">
        <f t="shared" si="24"/>
        <v>0.47815047011413309</v>
      </c>
      <c r="Z29" s="718"/>
      <c r="AA29" s="634"/>
      <c r="AB29" s="629">
        <f t="shared" si="27"/>
        <v>6227.3469999999998</v>
      </c>
      <c r="AC29" s="629">
        <f t="shared" si="28"/>
        <v>11061.484</v>
      </c>
      <c r="AD29" s="633"/>
      <c r="AE29" s="634"/>
      <c r="AF29" s="629">
        <f t="shared" si="25"/>
        <v>4834.1370000000006</v>
      </c>
      <c r="AG29" s="926">
        <f t="shared" si="26"/>
        <v>0.77627551507889325</v>
      </c>
      <c r="AH29" s="635"/>
      <c r="AJ29" s="728"/>
      <c r="AK29" s="728"/>
      <c r="AL29" s="728"/>
      <c r="AM29" s="728"/>
    </row>
    <row r="30" spans="1:39" s="610" customFormat="1" ht="15" thickBot="1">
      <c r="A30" s="600"/>
      <c r="B30" s="600"/>
      <c r="C30" s="600"/>
      <c r="D30" s="600"/>
      <c r="E30" s="600"/>
      <c r="F30" s="600"/>
      <c r="G30" s="972"/>
      <c r="H30" s="1133" t="s">
        <v>286</v>
      </c>
      <c r="I30" s="1133"/>
      <c r="J30" s="1133"/>
      <c r="K30" s="1133"/>
      <c r="L30" s="1133"/>
      <c r="M30" s="1133"/>
      <c r="N30" s="670">
        <f t="shared" ref="N30" si="32">+N24+SUM(N27:N29)</f>
        <v>109907.61200000001</v>
      </c>
      <c r="O30" s="669">
        <f>+O24+SUM(O27:O29)</f>
        <v>120224.48899999999</v>
      </c>
      <c r="P30" s="669">
        <f>+P24+SUM(P27:P29)</f>
        <v>126793.30399999999</v>
      </c>
      <c r="Q30" s="669">
        <f t="shared" ref="Q30" si="33">+Q24+SUM(Q27:Q29)</f>
        <v>128890.86199999999</v>
      </c>
      <c r="R30" s="670">
        <f t="shared" ref="R30:S30" si="34">+R24+SUM(R27:R29)</f>
        <v>126761.96699999999</v>
      </c>
      <c r="S30" s="669">
        <f t="shared" si="34"/>
        <v>140041.606</v>
      </c>
      <c r="T30" s="669"/>
      <c r="U30" s="669"/>
      <c r="V30" s="604"/>
      <c r="W30" s="605"/>
      <c r="X30" s="669">
        <f t="shared" si="23"/>
        <v>19817.117000000013</v>
      </c>
      <c r="Y30" s="931">
        <f t="shared" si="24"/>
        <v>0.16483427931226238</v>
      </c>
      <c r="Z30" s="708"/>
      <c r="AA30" s="605"/>
      <c r="AB30" s="669">
        <f t="shared" ref="AB30" si="35">+AB24+SUM(AB27:AB29)</f>
        <v>120224.489</v>
      </c>
      <c r="AC30" s="669">
        <f>+AC24+SUM(AC27:AC29)</f>
        <v>140041.606</v>
      </c>
      <c r="AD30" s="604"/>
      <c r="AE30" s="605"/>
      <c r="AF30" s="669">
        <f t="shared" si="25"/>
        <v>19817.116999999998</v>
      </c>
      <c r="AG30" s="931">
        <f t="shared" si="26"/>
        <v>0.16483427931226224</v>
      </c>
      <c r="AH30" s="609"/>
      <c r="AJ30" s="728"/>
      <c r="AK30" s="728"/>
      <c r="AL30" s="728"/>
      <c r="AM30" s="728"/>
    </row>
    <row r="31" spans="1:39" s="640" customFormat="1" ht="15" thickTop="1">
      <c r="A31" s="644"/>
      <c r="B31" s="644"/>
      <c r="C31" s="644"/>
      <c r="D31" s="644"/>
      <c r="E31" s="644"/>
      <c r="F31" s="644"/>
      <c r="G31" s="972"/>
      <c r="H31" s="975"/>
      <c r="I31" s="1133" t="s">
        <v>287</v>
      </c>
      <c r="J31" s="1133"/>
      <c r="K31" s="1133"/>
      <c r="L31" s="1133"/>
      <c r="M31" s="1133"/>
      <c r="N31" s="932">
        <f t="shared" ref="N31:Q31" si="36">+N27/N24*4</f>
        <v>1.9358019598025276E-2</v>
      </c>
      <c r="O31" s="926">
        <f t="shared" si="36"/>
        <v>1.7706289533431032E-2</v>
      </c>
      <c r="P31" s="926">
        <f t="shared" si="36"/>
        <v>1.2077872088106765E-2</v>
      </c>
      <c r="Q31" s="926">
        <f t="shared" si="36"/>
        <v>1.0246566332871949E-2</v>
      </c>
      <c r="R31" s="932">
        <f t="shared" ref="R31:S31" si="37">+R27/R24*4</f>
        <v>1.1238314163807824E-2</v>
      </c>
      <c r="S31" s="926">
        <f t="shared" si="37"/>
        <v>1.2513658769589786E-2</v>
      </c>
      <c r="T31" s="926"/>
      <c r="U31" s="926"/>
      <c r="V31" s="933"/>
      <c r="W31" s="909"/>
      <c r="X31" s="926">
        <f t="shared" si="23"/>
        <v>-5.1926307638412456E-3</v>
      </c>
      <c r="Y31" s="930" t="s">
        <v>192</v>
      </c>
      <c r="Z31" s="934"/>
      <c r="AA31" s="909"/>
      <c r="AB31" s="926">
        <f>+AB27/AB24*4/COUNTIF($N$71:$Q$71,"Yes")</f>
        <v>1.8360506021198292E-2</v>
      </c>
      <c r="AC31" s="926">
        <f>+AC27/AC24*4/COUNTIF($R$71:$U$71,"Yes")</f>
        <v>1.1772642190879291E-2</v>
      </c>
      <c r="AD31" s="933"/>
      <c r="AE31" s="909"/>
      <c r="AF31" s="926">
        <f t="shared" si="25"/>
        <v>-6.5878638303190004E-3</v>
      </c>
      <c r="AG31" s="930" t="s">
        <v>192</v>
      </c>
      <c r="AH31" s="651"/>
      <c r="AJ31" s="728"/>
      <c r="AK31" s="728"/>
      <c r="AL31" s="728"/>
      <c r="AM31" s="728"/>
    </row>
    <row r="32" spans="1:39" ht="14.4">
      <c r="G32" s="972"/>
      <c r="H32" s="975"/>
      <c r="I32" s="975"/>
      <c r="J32" s="147"/>
      <c r="K32" s="975"/>
      <c r="L32" s="147"/>
      <c r="M32" s="147"/>
      <c r="N32" s="317"/>
      <c r="O32" s="316"/>
      <c r="P32" s="316"/>
      <c r="Q32" s="316"/>
      <c r="R32" s="317"/>
      <c r="S32" s="316"/>
      <c r="T32" s="316"/>
      <c r="U32" s="316"/>
      <c r="V32" s="307"/>
      <c r="W32" s="301"/>
      <c r="X32" s="316"/>
      <c r="Y32" s="926"/>
      <c r="Z32" s="262"/>
      <c r="AA32" s="257"/>
      <c r="AB32" s="316"/>
      <c r="AC32" s="316"/>
      <c r="AD32" s="307"/>
      <c r="AE32" s="301"/>
      <c r="AF32" s="316"/>
      <c r="AG32" s="926"/>
      <c r="AH32"/>
      <c r="AJ32" s="728"/>
      <c r="AK32" s="728"/>
      <c r="AL32" s="728"/>
      <c r="AM32" s="728"/>
    </row>
    <row r="33" spans="1:39" ht="14.4">
      <c r="G33" s="972"/>
      <c r="H33" s="1133" t="s">
        <v>755</v>
      </c>
      <c r="I33" s="1133"/>
      <c r="J33" s="1133"/>
      <c r="K33" s="1133"/>
      <c r="L33" s="1133"/>
      <c r="M33" s="1133"/>
      <c r="N33" s="303"/>
      <c r="O33" s="175"/>
      <c r="P33" s="175"/>
      <c r="Q33" s="175"/>
      <c r="R33" s="303"/>
      <c r="S33" s="175"/>
      <c r="T33" s="175"/>
      <c r="U33" s="175"/>
      <c r="V33" s="261"/>
      <c r="W33" s="257"/>
      <c r="X33" s="175"/>
      <c r="Y33" s="929"/>
      <c r="Z33" s="262"/>
      <c r="AA33" s="257"/>
      <c r="AB33" s="175"/>
      <c r="AC33" s="175"/>
      <c r="AD33" s="261"/>
      <c r="AE33" s="257"/>
      <c r="AF33" s="175"/>
      <c r="AG33" s="929"/>
      <c r="AH33"/>
      <c r="AJ33" s="728"/>
      <c r="AK33" s="728"/>
      <c r="AL33" s="728"/>
      <c r="AM33" s="728"/>
    </row>
    <row r="34" spans="1:39" s="610" customFormat="1" ht="14.4">
      <c r="A34" s="600"/>
      <c r="B34" s="600"/>
      <c r="C34" s="600"/>
      <c r="D34" s="600"/>
      <c r="E34" s="600"/>
      <c r="F34" s="600"/>
      <c r="G34" s="972"/>
      <c r="H34" s="147"/>
      <c r="I34" s="1133" t="s">
        <v>269</v>
      </c>
      <c r="J34" s="1133"/>
      <c r="K34" s="1133"/>
      <c r="L34" s="1133"/>
      <c r="M34" s="1133"/>
      <c r="N34" s="602">
        <f>+SUMIF(Manual!$2:$2,N$4,Manual!$66:$66)</f>
        <v>54649.052000000003</v>
      </c>
      <c r="O34" s="601">
        <f>+SUMIF(Manual!$2:$2,O$4,Manual!$66:$66)</f>
        <v>54323.928</v>
      </c>
      <c r="P34" s="601">
        <f>+SUMIF(Manual!$2:$2,P$4,Manual!$66:$66)</f>
        <v>58409.534</v>
      </c>
      <c r="Q34" s="601">
        <f>+SUMIF(Manual!$2:$2,Q$4,Manual!$66:$66)</f>
        <v>60288.190999999999</v>
      </c>
      <c r="R34" s="602">
        <f>+SUMIF(Manual!$2:$2,R$4,Manual!$66:$66)</f>
        <v>60243.108</v>
      </c>
      <c r="S34" s="601">
        <f>+SUMIF(Manual!$2:$2,S$4,Manual!$66:$66)</f>
        <v>62297.694000000003</v>
      </c>
      <c r="T34" s="601"/>
      <c r="U34" s="601"/>
      <c r="V34" s="604"/>
      <c r="W34" s="605"/>
      <c r="X34" s="601">
        <f t="shared" ref="X34:X40" si="38">+SUMIF($N$4:$U$4,$B$1,$N34:$U34)-SUMIF($N$4:$U$4,$A$1,$N34:$U34)</f>
        <v>7973.7660000000033</v>
      </c>
      <c r="Y34" s="926">
        <f t="shared" ref="Y34:Y40" si="39">IF(OR(ABS(IF(X34&lt;0,-ABS(X34/SUMIF($N$4:$U$4,$A$1,$N34:$U34)),ABS(X34/SUMIF($N$4:$U$4,$A$1,$N34:$U34))))&lt;minvar,ABS(IF(X34&lt;0,-ABS(X34/SUMIF($N$4:$U$4,$A$1,$N34:$U34)),ABS(X34/SUMIF($N$4:$U$4,$A$1,$N34:$U34))))&gt;maxvar)=TRUE,"nm",IF(X34&lt;0,-ABS(X34/SUMIF($N$4:$U$4,$A$1,$N34:$U34)),ABS(X34/SUMIF($N$4:$U$4,$A$1,$N34:$U34))))</f>
        <v>0.14678183801436456</v>
      </c>
      <c r="Z34" s="708"/>
      <c r="AA34" s="605"/>
      <c r="AB34" s="601">
        <f>+AVERAGEIF($N$71:$Q$71,"Yes",$N34:$Q34)</f>
        <v>54486.490000000005</v>
      </c>
      <c r="AC34" s="601">
        <f>+AVERAGEIF($R$71:$U$71,"Yes",$R34:$U34)</f>
        <v>61270.400999999998</v>
      </c>
      <c r="AD34" s="604"/>
      <c r="AE34" s="605"/>
      <c r="AF34" s="601">
        <f t="shared" ref="AF34:AF40" si="40">+$AC34-$AB34</f>
        <v>6783.9109999999928</v>
      </c>
      <c r="AG34" s="926">
        <f t="shared" ref="AG34:AG40" si="41">IF(OR(ABS(IF(AF34&lt;0,-ABS(AF34/$AB34),ABS(AF34/$AB34)))&lt;minvar,ABS(IF(AF34&lt;0,-ABS(AF34/$AB34),ABS(AF34/$AB34)))&gt;maxvar)=TRUE,"nm",IF(AF34&lt;0,-ABS(AF34/$AB34),ABS(AF34/$AB34)))</f>
        <v>0.12450629504671694</v>
      </c>
      <c r="AH34" s="609"/>
      <c r="AJ34" s="728"/>
      <c r="AK34" s="728"/>
      <c r="AL34" s="728"/>
      <c r="AM34" s="728"/>
    </row>
    <row r="35" spans="1:39" s="636" customFormat="1" ht="14.4">
      <c r="A35" s="626"/>
      <c r="B35" s="626"/>
      <c r="C35" s="626"/>
      <c r="D35" s="626"/>
      <c r="E35" s="626"/>
      <c r="F35" s="626"/>
      <c r="G35" s="972"/>
      <c r="H35" s="147"/>
      <c r="I35" s="1133" t="s">
        <v>288</v>
      </c>
      <c r="J35" s="1133"/>
      <c r="K35" s="1133"/>
      <c r="L35" s="1133"/>
      <c r="M35" s="1133"/>
      <c r="N35" s="630">
        <f>+SUMIF(Manual!$2:$2,N$4,Manual!$67:$67)</f>
        <v>14554.619000000001</v>
      </c>
      <c r="O35" s="629">
        <f>+SUMIF(Manual!$2:$2,O$4,Manual!$67:$67)</f>
        <v>15153.25</v>
      </c>
      <c r="P35" s="629">
        <f>+SUMIF(Manual!$2:$2,P$4,Manual!$67:$67)</f>
        <v>16452.274000000001</v>
      </c>
      <c r="Q35" s="629">
        <f>+SUMIF(Manual!$2:$2,Q$4,Manual!$67:$67)</f>
        <v>17225.541000000001</v>
      </c>
      <c r="R35" s="630">
        <f>+SUMIF(Manual!$2:$2,R$4,Manual!$67:$67)</f>
        <v>17763.780999999999</v>
      </c>
      <c r="S35" s="629">
        <f>+SUMIF(Manual!$2:$2,S$4,Manual!$67:$67)</f>
        <v>18623.751</v>
      </c>
      <c r="T35" s="629"/>
      <c r="U35" s="629"/>
      <c r="V35" s="633"/>
      <c r="W35" s="634"/>
      <c r="X35" s="629">
        <f t="shared" si="38"/>
        <v>3470.5010000000002</v>
      </c>
      <c r="Y35" s="926">
        <f t="shared" si="39"/>
        <v>0.22902684242654217</v>
      </c>
      <c r="Z35" s="718"/>
      <c r="AA35" s="634"/>
      <c r="AB35" s="629">
        <f t="shared" ref="AB35:AB46" si="42">+AVERAGEIF($N$71:$Q$71,"Yes",$N35:$Q35)</f>
        <v>14853.934499999999</v>
      </c>
      <c r="AC35" s="629">
        <f t="shared" ref="AC35:AC46" si="43">+AVERAGEIF($R$71:$U$71,"Yes",$R35:$U35)</f>
        <v>18193.766</v>
      </c>
      <c r="AD35" s="633"/>
      <c r="AE35" s="634"/>
      <c r="AF35" s="629">
        <f t="shared" si="40"/>
        <v>3339.8315000000002</v>
      </c>
      <c r="AG35" s="926">
        <f t="shared" si="41"/>
        <v>0.22484490557030531</v>
      </c>
      <c r="AH35" s="635"/>
      <c r="AJ35" s="728"/>
      <c r="AK35" s="728"/>
      <c r="AL35" s="728"/>
      <c r="AM35" s="728"/>
    </row>
    <row r="36" spans="1:39" s="636" customFormat="1" ht="14.4">
      <c r="A36" s="626"/>
      <c r="B36" s="626"/>
      <c r="C36" s="626"/>
      <c r="D36" s="626"/>
      <c r="E36" s="626"/>
      <c r="F36" s="626"/>
      <c r="G36" s="972"/>
      <c r="H36" s="147"/>
      <c r="I36" s="1133" t="s">
        <v>274</v>
      </c>
      <c r="J36" s="1133"/>
      <c r="K36" s="1133"/>
      <c r="L36" s="1133"/>
      <c r="M36" s="1133"/>
      <c r="N36" s="630">
        <f>+SUMIF(Manual!$2:$2,N$4,Manual!$68:$68)</f>
        <v>11536.665999999999</v>
      </c>
      <c r="O36" s="629">
        <f>+SUMIF(Manual!$2:$2,O$4,Manual!$68:$68)</f>
        <v>12166.886</v>
      </c>
      <c r="P36" s="629">
        <f>+SUMIF(Manual!$2:$2,P$4,Manual!$68:$68)</f>
        <v>13759.404</v>
      </c>
      <c r="Q36" s="629">
        <f>+SUMIF(Manual!$2:$2,Q$4,Manual!$68:$68)</f>
        <v>15070.343000000001</v>
      </c>
      <c r="R36" s="630">
        <f>+SUMIF(Manual!$2:$2,R$4,Manual!$68:$68)</f>
        <v>16189.867</v>
      </c>
      <c r="S36" s="629">
        <f>+SUMIF(Manual!$2:$2,S$4,Manual!$68:$68)</f>
        <v>17759.755000000001</v>
      </c>
      <c r="T36" s="629"/>
      <c r="U36" s="629"/>
      <c r="V36" s="633"/>
      <c r="W36" s="634"/>
      <c r="X36" s="629">
        <f t="shared" si="38"/>
        <v>5592.8690000000006</v>
      </c>
      <c r="Y36" s="926">
        <f t="shared" si="39"/>
        <v>0.45967957618736632</v>
      </c>
      <c r="Z36" s="718"/>
      <c r="AA36" s="634"/>
      <c r="AB36" s="629">
        <f t="shared" si="42"/>
        <v>11851.776</v>
      </c>
      <c r="AC36" s="629">
        <f t="shared" si="43"/>
        <v>16974.811000000002</v>
      </c>
      <c r="AD36" s="633"/>
      <c r="AE36" s="634"/>
      <c r="AF36" s="629">
        <f t="shared" si="40"/>
        <v>5123.0350000000017</v>
      </c>
      <c r="AG36" s="926">
        <f t="shared" si="41"/>
        <v>0.43225884458160546</v>
      </c>
      <c r="AH36" s="635"/>
      <c r="AJ36" s="728"/>
      <c r="AK36" s="728"/>
      <c r="AL36" s="728"/>
      <c r="AM36" s="728"/>
    </row>
    <row r="37" spans="1:39" s="636" customFormat="1" ht="14.4">
      <c r="A37" s="626"/>
      <c r="B37" s="626"/>
      <c r="C37" s="626"/>
      <c r="D37" s="626"/>
      <c r="E37" s="626"/>
      <c r="F37" s="626"/>
      <c r="G37" s="972"/>
      <c r="H37" s="147"/>
      <c r="I37" s="1133" t="s">
        <v>271</v>
      </c>
      <c r="J37" s="1133"/>
      <c r="K37" s="1133"/>
      <c r="L37" s="1133"/>
      <c r="M37" s="1133"/>
      <c r="N37" s="630">
        <f>+SUMIF(Manual!$2:$2,N$4,Manual!$69:$69)</f>
        <v>3003.0680000000002</v>
      </c>
      <c r="O37" s="629">
        <f>+SUMIF(Manual!$2:$2,O$4,Manual!$69:$69)</f>
        <v>3033.4340000000002</v>
      </c>
      <c r="P37" s="629">
        <f>+SUMIF(Manual!$2:$2,P$4,Manual!$69:$69)</f>
        <v>3061.4969999999998</v>
      </c>
      <c r="Q37" s="629">
        <f>+SUMIF(Manual!$2:$2,Q$4,Manual!$69:$69)</f>
        <v>3080.9380000000001</v>
      </c>
      <c r="R37" s="630">
        <f>+SUMIF(Manual!$2:$2,R$4,Manual!$69:$69)</f>
        <v>3093.1529999999998</v>
      </c>
      <c r="S37" s="629">
        <f>+SUMIF(Manual!$2:$2,S$4,Manual!$69:$69)</f>
        <v>3120.7829999999999</v>
      </c>
      <c r="T37" s="629"/>
      <c r="U37" s="629"/>
      <c r="V37" s="633"/>
      <c r="W37" s="634"/>
      <c r="X37" s="629">
        <f t="shared" si="38"/>
        <v>87.348999999999705</v>
      </c>
      <c r="Y37" s="926">
        <f t="shared" si="39"/>
        <v>2.8795417998215785E-2</v>
      </c>
      <c r="Z37" s="718"/>
      <c r="AA37" s="634"/>
      <c r="AB37" s="629">
        <f t="shared" si="42"/>
        <v>3018.2510000000002</v>
      </c>
      <c r="AC37" s="629">
        <f t="shared" si="43"/>
        <v>3106.9679999999998</v>
      </c>
      <c r="AD37" s="633"/>
      <c r="AE37" s="634"/>
      <c r="AF37" s="629">
        <f t="shared" si="40"/>
        <v>88.716999999999643</v>
      </c>
      <c r="AG37" s="926">
        <f t="shared" si="41"/>
        <v>2.9393512998090496E-2</v>
      </c>
      <c r="AH37" s="635"/>
      <c r="AJ37" s="728"/>
      <c r="AK37" s="728"/>
      <c r="AL37" s="728"/>
      <c r="AM37" s="728"/>
    </row>
    <row r="38" spans="1:39" s="636" customFormat="1" ht="14.4">
      <c r="A38" s="626"/>
      <c r="B38" s="626"/>
      <c r="C38" s="626"/>
      <c r="D38" s="626"/>
      <c r="E38" s="626"/>
      <c r="F38" s="626"/>
      <c r="G38" s="972"/>
      <c r="H38" s="147"/>
      <c r="I38" s="1133" t="s">
        <v>272</v>
      </c>
      <c r="J38" s="1133"/>
      <c r="K38" s="1133"/>
      <c r="L38" s="1133"/>
      <c r="M38" s="1133"/>
      <c r="N38" s="630">
        <f>+SUMIF(Manual!$2:$2,N$4,Manual!$70:$70)</f>
        <v>27085.567999999999</v>
      </c>
      <c r="O38" s="629">
        <f>+SUMIF(Manual!$2:$2,O$4,Manual!$70:$70)</f>
        <v>27074.907000000003</v>
      </c>
      <c r="P38" s="629">
        <f>+SUMIF(Manual!$2:$2,P$4,Manual!$70:$70)</f>
        <v>29127.444000000003</v>
      </c>
      <c r="Q38" s="629">
        <f>+SUMIF(Manual!$2:$2,Q$4,Manual!$70:$70)</f>
        <v>30209.662000000004</v>
      </c>
      <c r="R38" s="630">
        <f>+SUMIF(Manual!$2:$2,R$4,Manual!$70:$70)</f>
        <v>30275.705000000002</v>
      </c>
      <c r="S38" s="629">
        <f>+SUMIF(Manual!$2:$2,S$4,Manual!$70:$70)</f>
        <v>31450.791999999998</v>
      </c>
      <c r="T38" s="629"/>
      <c r="U38" s="629"/>
      <c r="V38" s="633"/>
      <c r="W38" s="634"/>
      <c r="X38" s="629">
        <f t="shared" si="38"/>
        <v>4375.8849999999948</v>
      </c>
      <c r="Y38" s="926">
        <f t="shared" si="39"/>
        <v>0.16162142311329064</v>
      </c>
      <c r="Z38" s="718"/>
      <c r="AA38" s="634"/>
      <c r="AB38" s="629">
        <f t="shared" si="42"/>
        <v>27080.237500000003</v>
      </c>
      <c r="AC38" s="629">
        <f t="shared" si="43"/>
        <v>30863.248500000002</v>
      </c>
      <c r="AD38" s="633"/>
      <c r="AE38" s="634"/>
      <c r="AF38" s="629">
        <f t="shared" si="40"/>
        <v>3783.0109999999986</v>
      </c>
      <c r="AG38" s="926">
        <f t="shared" si="41"/>
        <v>0.13969637452404168</v>
      </c>
      <c r="AH38" s="635"/>
      <c r="AJ38" s="728"/>
      <c r="AK38" s="728"/>
      <c r="AL38" s="728"/>
      <c r="AM38" s="728"/>
    </row>
    <row r="39" spans="1:39" s="636" customFormat="1" ht="14.4">
      <c r="A39" s="626"/>
      <c r="B39" s="626"/>
      <c r="C39" s="626"/>
      <c r="D39" s="626"/>
      <c r="E39" s="626"/>
      <c r="F39" s="626"/>
      <c r="G39" s="972"/>
      <c r="H39" s="147"/>
      <c r="I39" s="1133" t="s">
        <v>276</v>
      </c>
      <c r="J39" s="1133"/>
      <c r="K39" s="1133"/>
      <c r="L39" s="1133"/>
      <c r="M39" s="1133"/>
      <c r="N39" s="630">
        <f>+SUMIF(Manual!$2:$2,N$4,Manual!$71:$71)</f>
        <v>2188.558</v>
      </c>
      <c r="O39" s="629">
        <f>+SUMIF(Manual!$2:$2,O$4,Manual!$71:$71)</f>
        <v>2222.904</v>
      </c>
      <c r="P39" s="629">
        <f>+SUMIF(Manual!$2:$2,P$4,Manual!$71:$71)</f>
        <v>2306.7190000000001</v>
      </c>
      <c r="Q39" s="629">
        <f>+SUMIF(Manual!$2:$2,Q$4,Manual!$71:$71)</f>
        <v>2300.5340000000001</v>
      </c>
      <c r="R39" s="630">
        <f>+SUMIF(Manual!$2:$2,R$4,Manual!$71:$71)</f>
        <v>2309.5309999999999</v>
      </c>
      <c r="S39" s="629">
        <f>+SUMIF(Manual!$2:$2,S$4,Manual!$71:$71)</f>
        <v>2296.915</v>
      </c>
      <c r="T39" s="629"/>
      <c r="U39" s="629"/>
      <c r="V39" s="633"/>
      <c r="W39" s="634"/>
      <c r="X39" s="629">
        <f t="shared" si="38"/>
        <v>74.010999999999967</v>
      </c>
      <c r="Y39" s="926">
        <f t="shared" si="39"/>
        <v>3.3294735175248218E-2</v>
      </c>
      <c r="Z39" s="718"/>
      <c r="AA39" s="634"/>
      <c r="AB39" s="629">
        <f t="shared" si="42"/>
        <v>2205.7309999999998</v>
      </c>
      <c r="AC39" s="629">
        <f t="shared" si="43"/>
        <v>2303.223</v>
      </c>
      <c r="AD39" s="633"/>
      <c r="AE39" s="634"/>
      <c r="AF39" s="629">
        <f t="shared" si="40"/>
        <v>97.492000000000189</v>
      </c>
      <c r="AG39" s="926">
        <f t="shared" si="41"/>
        <v>4.4199406001910566E-2</v>
      </c>
      <c r="AH39" s="635"/>
      <c r="AJ39" s="728"/>
      <c r="AK39" s="728"/>
      <c r="AL39" s="728"/>
      <c r="AM39" s="728"/>
    </row>
    <row r="40" spans="1:39" s="610" customFormat="1" ht="15" thickBot="1">
      <c r="A40" s="600"/>
      <c r="B40" s="600"/>
      <c r="C40" s="600"/>
      <c r="D40" s="600"/>
      <c r="E40" s="600"/>
      <c r="F40" s="600"/>
      <c r="G40" s="972"/>
      <c r="H40" s="147"/>
      <c r="I40" s="147"/>
      <c r="J40" s="147"/>
      <c r="K40" s="1133" t="s">
        <v>251</v>
      </c>
      <c r="L40" s="1133"/>
      <c r="M40" s="1133"/>
      <c r="N40" s="670">
        <f t="shared" ref="N40:Q40" si="44">+SUM(N34:N39)</f>
        <v>113017.531</v>
      </c>
      <c r="O40" s="669">
        <f t="shared" si="44"/>
        <v>113975.30899999999</v>
      </c>
      <c r="P40" s="669">
        <f t="shared" si="44"/>
        <v>123116.872</v>
      </c>
      <c r="Q40" s="669">
        <f t="shared" si="44"/>
        <v>128175.20900000002</v>
      </c>
      <c r="R40" s="670">
        <f t="shared" ref="R40:S40" si="45">+SUM(R34:R39)</f>
        <v>129875.145</v>
      </c>
      <c r="S40" s="669">
        <f t="shared" si="45"/>
        <v>135549.69</v>
      </c>
      <c r="T40" s="669"/>
      <c r="U40" s="669"/>
      <c r="V40" s="604"/>
      <c r="W40" s="605"/>
      <c r="X40" s="669">
        <f t="shared" si="38"/>
        <v>21574.381000000008</v>
      </c>
      <c r="Y40" s="931">
        <f t="shared" si="39"/>
        <v>0.18928995401977819</v>
      </c>
      <c r="Z40" s="708"/>
      <c r="AA40" s="605"/>
      <c r="AB40" s="669">
        <f t="shared" si="42"/>
        <v>113496.42</v>
      </c>
      <c r="AC40" s="669">
        <f t="shared" si="43"/>
        <v>132712.41750000001</v>
      </c>
      <c r="AD40" s="604"/>
      <c r="AE40" s="605"/>
      <c r="AF40" s="669">
        <f t="shared" si="40"/>
        <v>19215.997500000012</v>
      </c>
      <c r="AG40" s="931">
        <f t="shared" si="41"/>
        <v>0.1693092830593248</v>
      </c>
      <c r="AH40" s="609"/>
      <c r="AJ40" s="728"/>
      <c r="AK40" s="728"/>
      <c r="AL40" s="728"/>
      <c r="AM40" s="728"/>
    </row>
    <row r="41" spans="1:39" ht="15" thickTop="1">
      <c r="G41" s="972"/>
      <c r="H41" s="147"/>
      <c r="I41" s="147"/>
      <c r="J41" s="147"/>
      <c r="K41" s="147"/>
      <c r="L41" s="147"/>
      <c r="M41" s="147"/>
      <c r="N41" s="306"/>
      <c r="O41" s="302"/>
      <c r="P41" s="302"/>
      <c r="Q41" s="302"/>
      <c r="R41" s="306"/>
      <c r="S41" s="302"/>
      <c r="T41" s="302"/>
      <c r="U41" s="302"/>
      <c r="V41" s="307"/>
      <c r="W41" s="301"/>
      <c r="X41" s="302"/>
      <c r="Y41" s="926"/>
      <c r="Z41" s="262"/>
      <c r="AA41" s="257"/>
      <c r="AB41" s="302"/>
      <c r="AC41" s="302"/>
      <c r="AD41" s="307"/>
      <c r="AE41" s="301"/>
      <c r="AF41" s="302"/>
      <c r="AG41" s="926"/>
      <c r="AH41"/>
      <c r="AJ41" s="728"/>
      <c r="AK41" s="728"/>
      <c r="AL41" s="728"/>
      <c r="AM41" s="728"/>
    </row>
    <row r="42" spans="1:39" s="610" customFormat="1" ht="14.4">
      <c r="A42" s="600"/>
      <c r="B42" s="600"/>
      <c r="C42" s="600"/>
      <c r="D42" s="600"/>
      <c r="E42" s="600"/>
      <c r="F42" s="600"/>
      <c r="G42" s="972"/>
      <c r="H42" s="975"/>
      <c r="I42" s="1133" t="s">
        <v>288</v>
      </c>
      <c r="J42" s="1133"/>
      <c r="K42" s="1133"/>
      <c r="L42" s="1133"/>
      <c r="M42" s="1133"/>
      <c r="N42" s="602">
        <f t="shared" ref="N42:Q42" si="46">+N35</f>
        <v>14554.619000000001</v>
      </c>
      <c r="O42" s="601">
        <f t="shared" si="46"/>
        <v>15153.25</v>
      </c>
      <c r="P42" s="601">
        <f t="shared" si="46"/>
        <v>16452.274000000001</v>
      </c>
      <c r="Q42" s="601">
        <f t="shared" si="46"/>
        <v>17225.541000000001</v>
      </c>
      <c r="R42" s="602">
        <f t="shared" ref="R42:S42" si="47">+R35</f>
        <v>17763.780999999999</v>
      </c>
      <c r="S42" s="601">
        <f t="shared" si="47"/>
        <v>18623.751</v>
      </c>
      <c r="T42" s="601"/>
      <c r="U42" s="601"/>
      <c r="V42" s="604"/>
      <c r="W42" s="605"/>
      <c r="X42" s="601">
        <f>+SUMIF($N$4:$U$4,$B$1,$N42:$U42)-SUMIF($N$4:$U$4,$A$1,$N42:$U42)</f>
        <v>3470.5010000000002</v>
      </c>
      <c r="Y42" s="926">
        <f>IF(OR(ABS(IF(X42&lt;0,-ABS(X42/SUMIF($N$4:$U$4,$A$1,$N42:$U42)),ABS(X42/SUMIF($N$4:$U$4,$A$1,$N42:$U42))))&lt;minvar,ABS(IF(X42&lt;0,-ABS(X42/SUMIF($N$4:$U$4,$A$1,$N42:$U42)),ABS(X42/SUMIF($N$4:$U$4,$A$1,$N42:$U42))))&gt;maxvar)=TRUE,"nm",IF(X42&lt;0,-ABS(X42/SUMIF($N$4:$U$4,$A$1,$N42:$U42)),ABS(X42/SUMIF($N$4:$U$4,$A$1,$N42:$U42))))</f>
        <v>0.22902684242654217</v>
      </c>
      <c r="Z42" s="708"/>
      <c r="AA42" s="605"/>
      <c r="AB42" s="601">
        <f t="shared" si="42"/>
        <v>14853.934499999999</v>
      </c>
      <c r="AC42" s="601">
        <f t="shared" si="43"/>
        <v>18193.766</v>
      </c>
      <c r="AD42" s="604"/>
      <c r="AE42" s="605"/>
      <c r="AF42" s="601">
        <f t="shared" ref="AF42:AF46" si="48">+$AC42-$AB42</f>
        <v>3339.8315000000002</v>
      </c>
      <c r="AG42" s="926">
        <f>IF(OR(ABS(IF(AF42&lt;0,-ABS(AF42/$AB42),ABS(AF42/$AB42)))&lt;minvar,ABS(IF(AF42&lt;0,-ABS(AF42/$AB42),ABS(AF42/$AB42)))&gt;maxvar)=TRUE,"nm",IF(AF42&lt;0,-ABS(AF42/$AB42),ABS(AF42/$AB42)))</f>
        <v>0.22484490557030531</v>
      </c>
      <c r="AH42" s="609"/>
      <c r="AJ42" s="728"/>
      <c r="AK42" s="728"/>
      <c r="AL42" s="728"/>
      <c r="AM42" s="728"/>
    </row>
    <row r="43" spans="1:39" s="636" customFormat="1" ht="14.4">
      <c r="A43" s="626"/>
      <c r="B43" s="626"/>
      <c r="C43" s="626"/>
      <c r="D43" s="626"/>
      <c r="E43" s="626"/>
      <c r="F43" s="626"/>
      <c r="G43" s="972"/>
      <c r="H43" s="975"/>
      <c r="I43" s="1133" t="s">
        <v>276</v>
      </c>
      <c r="J43" s="1133"/>
      <c r="K43" s="1133"/>
      <c r="L43" s="1133"/>
      <c r="M43" s="1133"/>
      <c r="N43" s="630">
        <f t="shared" ref="N43:Q43" si="49">+N39</f>
        <v>2188.558</v>
      </c>
      <c r="O43" s="629">
        <f t="shared" si="49"/>
        <v>2222.904</v>
      </c>
      <c r="P43" s="629">
        <f t="shared" si="49"/>
        <v>2306.7190000000001</v>
      </c>
      <c r="Q43" s="629">
        <f t="shared" si="49"/>
        <v>2300.5340000000001</v>
      </c>
      <c r="R43" s="630">
        <f t="shared" ref="R43:S43" si="50">+R39</f>
        <v>2309.5309999999999</v>
      </c>
      <c r="S43" s="629">
        <f t="shared" si="50"/>
        <v>2296.915</v>
      </c>
      <c r="T43" s="629"/>
      <c r="U43" s="629"/>
      <c r="V43" s="633"/>
      <c r="W43" s="634"/>
      <c r="X43" s="629">
        <f>+SUMIF($N$4:$U$4,$B$1,$N43:$U43)-SUMIF($N$4:$U$4,$A$1,$N43:$U43)</f>
        <v>74.010999999999967</v>
      </c>
      <c r="Y43" s="926">
        <f>IF(OR(ABS(IF(X43&lt;0,-ABS(X43/SUMIF($N$4:$U$4,$A$1,$N43:$U43)),ABS(X43/SUMIF($N$4:$U$4,$A$1,$N43:$U43))))&lt;minvar,ABS(IF(X43&lt;0,-ABS(X43/SUMIF($N$4:$U$4,$A$1,$N43:$U43)),ABS(X43/SUMIF($N$4:$U$4,$A$1,$N43:$U43))))&gt;maxvar)=TRUE,"nm",IF(X43&lt;0,-ABS(X43/SUMIF($N$4:$U$4,$A$1,$N43:$U43)),ABS(X43/SUMIF($N$4:$U$4,$A$1,$N43:$U43))))</f>
        <v>3.3294735175248218E-2</v>
      </c>
      <c r="Z43" s="718"/>
      <c r="AA43" s="634"/>
      <c r="AB43" s="629">
        <f t="shared" si="42"/>
        <v>2205.7309999999998</v>
      </c>
      <c r="AC43" s="629">
        <f t="shared" si="43"/>
        <v>2303.223</v>
      </c>
      <c r="AD43" s="633"/>
      <c r="AE43" s="634"/>
      <c r="AF43" s="629">
        <f t="shared" si="48"/>
        <v>97.492000000000189</v>
      </c>
      <c r="AG43" s="926">
        <f>IF(OR(ABS(IF(AF43&lt;0,-ABS(AF43/$AB43),ABS(AF43/$AB43)))&lt;minvar,ABS(IF(AF43&lt;0,-ABS(AF43/$AB43),ABS(AF43/$AB43)))&gt;maxvar)=TRUE,"nm",IF(AF43&lt;0,-ABS(AF43/$AB43),ABS(AF43/$AB43)))</f>
        <v>4.4199406001910566E-2</v>
      </c>
      <c r="AH43" s="635"/>
      <c r="AJ43" s="728"/>
      <c r="AK43" s="728"/>
      <c r="AL43" s="728"/>
      <c r="AM43" s="728"/>
    </row>
    <row r="44" spans="1:39" s="636" customFormat="1" ht="14.4">
      <c r="A44" s="626"/>
      <c r="B44" s="626"/>
      <c r="C44" s="626"/>
      <c r="D44" s="626"/>
      <c r="E44" s="626"/>
      <c r="F44" s="626"/>
      <c r="G44" s="972"/>
      <c r="H44" s="975"/>
      <c r="I44" s="147"/>
      <c r="J44" s="1133" t="s">
        <v>289</v>
      </c>
      <c r="K44" s="1133"/>
      <c r="L44" s="1133"/>
      <c r="M44" s="1133"/>
      <c r="N44" s="674">
        <f t="shared" ref="N44:Q44" si="51">SUM(N42:N43)</f>
        <v>16743.177</v>
      </c>
      <c r="O44" s="673">
        <f t="shared" si="51"/>
        <v>17376.153999999999</v>
      </c>
      <c r="P44" s="673">
        <f t="shared" si="51"/>
        <v>18758.993000000002</v>
      </c>
      <c r="Q44" s="673">
        <f t="shared" si="51"/>
        <v>19526.075000000001</v>
      </c>
      <c r="R44" s="674">
        <f t="shared" ref="R44:S44" si="52">SUM(R42:R43)</f>
        <v>20073.311999999998</v>
      </c>
      <c r="S44" s="673">
        <f t="shared" si="52"/>
        <v>20920.666000000001</v>
      </c>
      <c r="T44" s="673"/>
      <c r="U44" s="673"/>
      <c r="V44" s="633"/>
      <c r="W44" s="634"/>
      <c r="X44" s="673">
        <f>+SUMIF($N$4:$U$4,$B$1,$N44:$U44)-SUMIF($N$4:$U$4,$A$1,$N44:$U44)</f>
        <v>3544.5120000000024</v>
      </c>
      <c r="Y44" s="930">
        <f>IF(OR(ABS(IF(X44&lt;0,-ABS(X44/SUMIF($N$4:$U$4,$A$1,$N44:$U44)),ABS(X44/SUMIF($N$4:$U$4,$A$1,$N44:$U44))))&lt;minvar,ABS(IF(X44&lt;0,-ABS(X44/SUMIF($N$4:$U$4,$A$1,$N44:$U44)),ABS(X44/SUMIF($N$4:$U$4,$A$1,$N44:$U44))))&gt;maxvar)=TRUE,"nm",IF(X44&lt;0,-ABS(X44/SUMIF($N$4:$U$4,$A$1,$N44:$U44)),ABS(X44/SUMIF($N$4:$U$4,$A$1,$N44:$U44))))</f>
        <v>0.20398714237914803</v>
      </c>
      <c r="Z44" s="718"/>
      <c r="AA44" s="634"/>
      <c r="AB44" s="673">
        <f t="shared" si="42"/>
        <v>17059.665499999999</v>
      </c>
      <c r="AC44" s="673">
        <f t="shared" si="43"/>
        <v>20496.989000000001</v>
      </c>
      <c r="AD44" s="633"/>
      <c r="AE44" s="634"/>
      <c r="AF44" s="673">
        <f t="shared" si="48"/>
        <v>3437.3235000000022</v>
      </c>
      <c r="AG44" s="930">
        <f>IF(OR(ABS(IF(AF44&lt;0,-ABS(AF44/$AB44),ABS(AF44/$AB44)))&lt;minvar,ABS(IF(AF44&lt;0,-ABS(AF44/$AB44),ABS(AF44/$AB44)))&gt;maxvar)=TRUE,"nm",IF(AF44&lt;0,-ABS(AF44/$AB44),ABS(AF44/$AB44)))</f>
        <v>0.20148832929930557</v>
      </c>
      <c r="AH44" s="635"/>
      <c r="AJ44" s="728"/>
      <c r="AK44" s="728"/>
      <c r="AL44" s="728"/>
      <c r="AM44" s="728"/>
    </row>
    <row r="45" spans="1:39" s="636" customFormat="1" ht="14.4">
      <c r="A45" s="626"/>
      <c r="B45" s="626"/>
      <c r="C45" s="626"/>
      <c r="D45" s="626"/>
      <c r="E45" s="626"/>
      <c r="F45" s="626"/>
      <c r="G45" s="972"/>
      <c r="H45" s="975"/>
      <c r="I45" s="147"/>
      <c r="J45" s="1133" t="s">
        <v>290</v>
      </c>
      <c r="K45" s="1133"/>
      <c r="L45" s="1133"/>
      <c r="M45" s="1133"/>
      <c r="N45" s="630">
        <f t="shared" ref="N45:Q45" si="53">+N46-N44</f>
        <v>96274.354000000007</v>
      </c>
      <c r="O45" s="629">
        <f t="shared" si="53"/>
        <v>96599.154999999999</v>
      </c>
      <c r="P45" s="629">
        <f t="shared" si="53"/>
        <v>104357.879</v>
      </c>
      <c r="Q45" s="629">
        <f t="shared" si="53"/>
        <v>108649.13400000002</v>
      </c>
      <c r="R45" s="630">
        <f t="shared" ref="R45:S45" si="54">+R46-R44</f>
        <v>109801.83300000001</v>
      </c>
      <c r="S45" s="629">
        <f t="shared" si="54"/>
        <v>114629.024</v>
      </c>
      <c r="T45" s="629"/>
      <c r="U45" s="629"/>
      <c r="V45" s="633"/>
      <c r="W45" s="634"/>
      <c r="X45" s="629">
        <f>+SUMIF($N$4:$U$4,$B$1,$N45:$U45)-SUMIF($N$4:$U$4,$A$1,$N45:$U45)</f>
        <v>18029.869000000006</v>
      </c>
      <c r="Y45" s="926">
        <f>IF(OR(ABS(IF(X45&lt;0,-ABS(X45/SUMIF($N$4:$U$4,$A$1,$N45:$U45)),ABS(X45/SUMIF($N$4:$U$4,$A$1,$N45:$U45))))&lt;minvar,ABS(IF(X45&lt;0,-ABS(X45/SUMIF($N$4:$U$4,$A$1,$N45:$U45)),ABS(X45/SUMIF($N$4:$U$4,$A$1,$N45:$U45))))&gt;maxvar)=TRUE,"nm",IF(X45&lt;0,-ABS(X45/SUMIF($N$4:$U$4,$A$1,$N45:$U45)),ABS(X45/SUMIF($N$4:$U$4,$A$1,$N45:$U45))))</f>
        <v>0.18664623929681379</v>
      </c>
      <c r="Z45" s="718"/>
      <c r="AA45" s="634"/>
      <c r="AB45" s="629">
        <f t="shared" si="42"/>
        <v>96436.75450000001</v>
      </c>
      <c r="AC45" s="629">
        <f t="shared" si="43"/>
        <v>112215.42850000001</v>
      </c>
      <c r="AD45" s="633"/>
      <c r="AE45" s="634"/>
      <c r="AF45" s="629">
        <f t="shared" si="48"/>
        <v>15778.673999999999</v>
      </c>
      <c r="AG45" s="926">
        <f>IF(OR(ABS(IF(AF45&lt;0,-ABS(AF45/$AB45),ABS(AF45/$AB45)))&lt;minvar,ABS(IF(AF45&lt;0,-ABS(AF45/$AB45),ABS(AF45/$AB45)))&gt;maxvar)=TRUE,"nm",IF(AF45&lt;0,-ABS(AF45/$AB45),ABS(AF45/$AB45)))</f>
        <v>0.16361680856856289</v>
      </c>
      <c r="AH45" s="635"/>
      <c r="AJ45" s="728"/>
      <c r="AK45" s="728"/>
      <c r="AL45" s="728"/>
      <c r="AM45" s="728"/>
    </row>
    <row r="46" spans="1:39" s="610" customFormat="1" ht="15" thickBot="1">
      <c r="A46" s="600"/>
      <c r="B46" s="600"/>
      <c r="C46" s="600"/>
      <c r="D46" s="600"/>
      <c r="E46" s="600"/>
      <c r="F46" s="600"/>
      <c r="G46" s="972"/>
      <c r="H46" s="975"/>
      <c r="I46" s="147"/>
      <c r="J46" s="147"/>
      <c r="K46" s="1133" t="s">
        <v>291</v>
      </c>
      <c r="L46" s="1133"/>
      <c r="M46" s="1133"/>
      <c r="N46" s="670">
        <f t="shared" ref="N46:Q46" si="55">+N40</f>
        <v>113017.531</v>
      </c>
      <c r="O46" s="669">
        <f t="shared" si="55"/>
        <v>113975.30899999999</v>
      </c>
      <c r="P46" s="669">
        <f t="shared" si="55"/>
        <v>123116.872</v>
      </c>
      <c r="Q46" s="669">
        <f t="shared" si="55"/>
        <v>128175.20900000002</v>
      </c>
      <c r="R46" s="670">
        <f t="shared" ref="R46:S46" si="56">+R40</f>
        <v>129875.145</v>
      </c>
      <c r="S46" s="669">
        <f t="shared" si="56"/>
        <v>135549.69</v>
      </c>
      <c r="T46" s="669"/>
      <c r="U46" s="669"/>
      <c r="V46" s="604"/>
      <c r="W46" s="605"/>
      <c r="X46" s="669">
        <f>+SUMIF($N$4:$U$4,$B$1,$N46:$U46)-SUMIF($N$4:$U$4,$A$1,$N46:$U46)</f>
        <v>21574.381000000008</v>
      </c>
      <c r="Y46" s="931">
        <f>IF(OR(ABS(IF(X46&lt;0,-ABS(X46/SUMIF($N$4:$U$4,$A$1,$N46:$U46)),ABS(X46/SUMIF($N$4:$U$4,$A$1,$N46:$U46))))&lt;minvar,ABS(IF(X46&lt;0,-ABS(X46/SUMIF($N$4:$U$4,$A$1,$N46:$U46)),ABS(X46/SUMIF($N$4:$U$4,$A$1,$N46:$U46))))&gt;maxvar)=TRUE,"nm",IF(X46&lt;0,-ABS(X46/SUMIF($N$4:$U$4,$A$1,$N46:$U46)),ABS(X46/SUMIF($N$4:$U$4,$A$1,$N46:$U46))))</f>
        <v>0.18928995401977819</v>
      </c>
      <c r="Z46" s="708"/>
      <c r="AA46" s="605"/>
      <c r="AB46" s="669">
        <f t="shared" si="42"/>
        <v>113496.42</v>
      </c>
      <c r="AC46" s="669">
        <f t="shared" si="43"/>
        <v>132712.41750000001</v>
      </c>
      <c r="AD46" s="604"/>
      <c r="AE46" s="605"/>
      <c r="AF46" s="669">
        <f t="shared" si="48"/>
        <v>19215.997500000012</v>
      </c>
      <c r="AG46" s="931">
        <f>IF(OR(ABS(IF(AF46&lt;0,-ABS(AF46/$AB46),ABS(AF46/$AB46)))&lt;minvar,ABS(IF(AF46&lt;0,-ABS(AF46/$AB46),ABS(AF46/$AB46)))&gt;maxvar)=TRUE,"nm",IF(AF46&lt;0,-ABS(AF46/$AB46),ABS(AF46/$AB46)))</f>
        <v>0.1693092830593248</v>
      </c>
      <c r="AH46" s="609"/>
      <c r="AJ46" s="728"/>
      <c r="AK46" s="728"/>
      <c r="AL46" s="728"/>
      <c r="AM46" s="728"/>
    </row>
    <row r="47" spans="1:39" ht="15" thickTop="1">
      <c r="G47" s="972"/>
      <c r="H47" s="147"/>
      <c r="I47" s="147"/>
      <c r="J47" s="147"/>
      <c r="K47" s="147"/>
      <c r="L47" s="147"/>
      <c r="M47" s="147"/>
      <c r="N47" s="303"/>
      <c r="O47" s="175"/>
      <c r="P47" s="175"/>
      <c r="Q47" s="175"/>
      <c r="R47" s="303"/>
      <c r="S47" s="175"/>
      <c r="T47" s="175"/>
      <c r="U47" s="175"/>
      <c r="V47" s="261"/>
      <c r="W47" s="257"/>
      <c r="X47" s="175"/>
      <c r="Y47" s="929"/>
      <c r="Z47" s="262"/>
      <c r="AA47" s="257"/>
      <c r="AB47" s="175"/>
      <c r="AC47" s="175"/>
      <c r="AD47" s="261"/>
      <c r="AE47" s="257"/>
      <c r="AF47" s="175"/>
      <c r="AG47" s="929"/>
      <c r="AH47"/>
      <c r="AJ47" s="728"/>
      <c r="AK47" s="728"/>
      <c r="AL47" s="728"/>
      <c r="AM47" s="728"/>
    </row>
    <row r="48" spans="1:39" ht="14.4">
      <c r="G48" s="972"/>
      <c r="H48" s="1137" t="s">
        <v>782</v>
      </c>
      <c r="I48" s="1133"/>
      <c r="J48" s="1133"/>
      <c r="K48" s="1133"/>
      <c r="L48" s="1133"/>
      <c r="M48" s="1133"/>
      <c r="N48" s="303"/>
      <c r="O48" s="175"/>
      <c r="P48" s="175"/>
      <c r="Q48" s="175"/>
      <c r="R48" s="303"/>
      <c r="S48" s="175"/>
      <c r="T48" s="175"/>
      <c r="U48" s="175"/>
      <c r="V48" s="261"/>
      <c r="W48" s="257"/>
      <c r="X48" s="175"/>
      <c r="Y48" s="929"/>
      <c r="Z48" s="262"/>
      <c r="AA48" s="257"/>
      <c r="AB48" s="175"/>
      <c r="AC48" s="175"/>
      <c r="AD48" s="261"/>
      <c r="AE48" s="257"/>
      <c r="AF48" s="175"/>
      <c r="AG48" s="929"/>
      <c r="AH48"/>
      <c r="AJ48" s="728"/>
      <c r="AK48" s="728"/>
      <c r="AL48" s="728"/>
      <c r="AM48" s="728"/>
    </row>
    <row r="49" spans="1:76" s="636" customFormat="1" ht="14.4">
      <c r="A49" s="626"/>
      <c r="B49" s="626"/>
      <c r="C49" s="626"/>
      <c r="D49" s="626"/>
      <c r="E49" s="626"/>
      <c r="F49" s="626"/>
      <c r="G49" s="972"/>
      <c r="H49" s="147"/>
      <c r="I49" s="1133" t="s">
        <v>292</v>
      </c>
      <c r="J49" s="1133"/>
      <c r="K49" s="1133"/>
      <c r="L49" s="1133"/>
      <c r="M49" s="1133"/>
      <c r="N49" s="630">
        <f>+SUMIF(Manual!$2:$2,N$4,Manual!$75:$75)</f>
        <v>2419.1179999999999</v>
      </c>
      <c r="O49" s="629">
        <f>+SUMIF(Manual!$2:$2,O$4,Manual!$75:$75)</f>
        <v>2436.5520000000001</v>
      </c>
      <c r="P49" s="629">
        <f>+SUMIF(Manual!$2:$2,P$4,Manual!$75:$75)</f>
        <v>2448.3939999999998</v>
      </c>
      <c r="Q49" s="629">
        <f>+SUMIF(Manual!$2:$2,Q$4,Manual!$75:$75)</f>
        <v>2459.3879999999999</v>
      </c>
      <c r="R49" s="630">
        <f>+SUMIF(Manual!$2:$2,R$4,Manual!$75:$75)</f>
        <v>2467.0590000000002</v>
      </c>
      <c r="S49" s="629">
        <f>+SUMIF(Manual!$2:$2,S$4,Manual!$75:$75)</f>
        <v>2483.3229999999999</v>
      </c>
      <c r="T49" s="629"/>
      <c r="U49" s="629"/>
      <c r="V49" s="633"/>
      <c r="W49" s="634"/>
      <c r="X49" s="629">
        <f>+SUMIF($N$4:$U$4,$B$1,$N49:$U49)-SUMIF($N$4:$U$4,$A$1,$N49:$U49)</f>
        <v>46.770999999999731</v>
      </c>
      <c r="Y49" s="926">
        <f>IF(OR(ABS(IF(X49&lt;0,-ABS(X49/SUMIF($N$4:$U$4,$A$1,$N49:$U49)),ABS(X49/SUMIF($N$4:$U$4,$A$1,$N49:$U49))))&lt;minvar,ABS(IF(X49&lt;0,-ABS(X49/SUMIF($N$4:$U$4,$A$1,$N49:$U49)),ABS(X49/SUMIF($N$4:$U$4,$A$1,$N49:$U49))))&gt;maxvar)=TRUE,"nm",IF(X49&lt;0,-ABS(X49/SUMIF($N$4:$U$4,$A$1,$N49:$U49)),ABS(X49/SUMIF($N$4:$U$4,$A$1,$N49:$U49))))</f>
        <v>1.9195568163535903E-2</v>
      </c>
      <c r="Z49" s="718"/>
      <c r="AA49" s="634"/>
      <c r="AB49" s="629">
        <f t="shared" ref="AB49:AB51" si="57">+AVERAGEIF($N$71:$Q$71,"Yes",$N49:$Q49)</f>
        <v>2427.835</v>
      </c>
      <c r="AC49" s="629">
        <f t="shared" ref="AC49:AC51" si="58">+AVERAGEIF($R$71:$U$71,"Yes",$R49:$U49)</f>
        <v>2475.1909999999998</v>
      </c>
      <c r="AD49" s="633"/>
      <c r="AE49" s="634"/>
      <c r="AF49" s="629">
        <f t="shared" ref="AF49:AF51" si="59">+$AC49-$AB49</f>
        <v>47.355999999999767</v>
      </c>
      <c r="AG49" s="926">
        <f>IF(OR(ABS(IF(AF49&lt;0,-ABS(AF49/$AB49),ABS(AF49/$AB49)))&lt;minvar,ABS(IF(AF49&lt;0,-ABS(AF49/$AB49),ABS(AF49/$AB49)))&gt;maxvar)=TRUE,"nm",IF(AF49&lt;0,-ABS(AF49/$AB49),ABS(AF49/$AB49)))</f>
        <v>1.950544415085859E-2</v>
      </c>
      <c r="AH49" s="635"/>
      <c r="AJ49" s="728"/>
      <c r="AK49" s="728"/>
      <c r="AL49" s="728"/>
      <c r="AM49" s="728"/>
    </row>
    <row r="50" spans="1:76" s="636" customFormat="1" ht="14.4">
      <c r="A50" s="626"/>
      <c r="B50" s="626"/>
      <c r="C50" s="626"/>
      <c r="D50" s="626"/>
      <c r="E50" s="626"/>
      <c r="F50" s="626"/>
      <c r="G50" s="972"/>
      <c r="H50" s="147"/>
      <c r="I50" s="1133" t="s">
        <v>293</v>
      </c>
      <c r="J50" s="1133"/>
      <c r="K50" s="1133"/>
      <c r="L50" s="1133"/>
      <c r="M50" s="1133"/>
      <c r="N50" s="630">
        <f t="shared" ref="N50:Q50" si="60">+N51-N49</f>
        <v>884.92599999999993</v>
      </c>
      <c r="O50" s="629">
        <f t="shared" si="60"/>
        <v>892.98999999999978</v>
      </c>
      <c r="P50" s="629">
        <f t="shared" si="60"/>
        <v>901.86200000000008</v>
      </c>
      <c r="Q50" s="629">
        <f t="shared" si="60"/>
        <v>912.31899999999996</v>
      </c>
      <c r="R50" s="630">
        <f t="shared" ref="R50:S50" si="61">+R51-R49</f>
        <v>923.60299999999961</v>
      </c>
      <c r="S50" s="629">
        <f t="shared" si="61"/>
        <v>937.84100000000035</v>
      </c>
      <c r="T50" s="629"/>
      <c r="U50" s="629"/>
      <c r="V50" s="633"/>
      <c r="W50" s="634"/>
      <c r="X50" s="629">
        <f>+SUMIF($N$4:$U$4,$B$1,$N50:$U50)-SUMIF($N$4:$U$4,$A$1,$N50:$U50)</f>
        <v>44.851000000000568</v>
      </c>
      <c r="Y50" s="926">
        <f>IF(OR(ABS(IF(X50&lt;0,-ABS(X50/SUMIF($N$4:$U$4,$A$1,$N50:$U50)),ABS(X50/SUMIF($N$4:$U$4,$A$1,$N50:$U50))))&lt;minvar,ABS(IF(X50&lt;0,-ABS(X50/SUMIF($N$4:$U$4,$A$1,$N50:$U50)),ABS(X50/SUMIF($N$4:$U$4,$A$1,$N50:$U50))))&gt;maxvar)=TRUE,"nm",IF(X50&lt;0,-ABS(X50/SUMIF($N$4:$U$4,$A$1,$N50:$U50)),ABS(X50/SUMIF($N$4:$U$4,$A$1,$N50:$U50))))</f>
        <v>5.0225646423812782E-2</v>
      </c>
      <c r="Z50" s="718"/>
      <c r="AA50" s="634"/>
      <c r="AB50" s="629">
        <f t="shared" si="57"/>
        <v>888.95799999999986</v>
      </c>
      <c r="AC50" s="629">
        <f t="shared" si="58"/>
        <v>930.72199999999998</v>
      </c>
      <c r="AD50" s="633"/>
      <c r="AE50" s="634"/>
      <c r="AF50" s="629">
        <f t="shared" si="59"/>
        <v>41.764000000000124</v>
      </c>
      <c r="AG50" s="926">
        <f>IF(OR(ABS(IF(AF50&lt;0,-ABS(AF50/$AB50),ABS(AF50/$AB50)))&lt;minvar,ABS(IF(AF50&lt;0,-ABS(AF50/$AB50),ABS(AF50/$AB50)))&gt;maxvar)=TRUE,"nm",IF(AF50&lt;0,-ABS(AF50/$AB50),ABS(AF50/$AB50)))</f>
        <v>4.6980847239127307E-2</v>
      </c>
      <c r="AH50" s="635"/>
      <c r="AJ50" s="728"/>
      <c r="AK50" s="728"/>
      <c r="AL50" s="728"/>
      <c r="AM50" s="728"/>
    </row>
    <row r="51" spans="1:76" s="636" customFormat="1" ht="14.4">
      <c r="A51" s="626"/>
      <c r="B51" s="626"/>
      <c r="C51" s="626"/>
      <c r="D51" s="626"/>
      <c r="E51" s="626"/>
      <c r="F51" s="626"/>
      <c r="G51" s="972"/>
      <c r="H51" s="975"/>
      <c r="I51" s="147"/>
      <c r="J51" s="147"/>
      <c r="K51" s="1133" t="s">
        <v>251</v>
      </c>
      <c r="L51" s="1133"/>
      <c r="M51" s="1133"/>
      <c r="N51" s="674">
        <f>+SUMIF(Manual!$2:$2,N$4,Manual!$74:$74)</f>
        <v>3304.0439999999999</v>
      </c>
      <c r="O51" s="673">
        <f>+SUMIF(Manual!$2:$2,O$4,Manual!$74:$74)</f>
        <v>3329.5419999999999</v>
      </c>
      <c r="P51" s="673">
        <f>+SUMIF(Manual!$2:$2,P$4,Manual!$74:$74)</f>
        <v>3350.2559999999999</v>
      </c>
      <c r="Q51" s="673">
        <f>+SUMIF(Manual!$2:$2,Q$4,Manual!$74:$74)</f>
        <v>3371.7069999999999</v>
      </c>
      <c r="R51" s="674">
        <f>+SUMIF(Manual!$2:$2,R$4,Manual!$74:$74)</f>
        <v>3390.6619999999998</v>
      </c>
      <c r="S51" s="673">
        <f>+SUMIF(Manual!$2:$2,S$4,Manual!$74:$74)</f>
        <v>3421.1640000000002</v>
      </c>
      <c r="T51" s="673"/>
      <c r="U51" s="673"/>
      <c r="V51" s="633"/>
      <c r="W51" s="634"/>
      <c r="X51" s="673">
        <f>+SUMIF($N$4:$U$4,$B$1,$N51:$U51)-SUMIF($N$4:$U$4,$A$1,$N51:$U51)</f>
        <v>91.622000000000298</v>
      </c>
      <c r="Y51" s="930">
        <f>IF(OR(ABS(IF(X51&lt;0,-ABS(X51/SUMIF($N$4:$U$4,$A$1,$N51:$U51)),ABS(X51/SUMIF($N$4:$U$4,$A$1,$N51:$U51))))&lt;minvar,ABS(IF(X51&lt;0,-ABS(X51/SUMIF($N$4:$U$4,$A$1,$N51:$U51)),ABS(X51/SUMIF($N$4:$U$4,$A$1,$N51:$U51))))&gt;maxvar)=TRUE,"nm",IF(X51&lt;0,-ABS(X51/SUMIF($N$4:$U$4,$A$1,$N51:$U51)),ABS(X51/SUMIF($N$4:$U$4,$A$1,$N51:$U51))))</f>
        <v>2.7517898858161364E-2</v>
      </c>
      <c r="Z51" s="718"/>
      <c r="AA51" s="634"/>
      <c r="AB51" s="673">
        <f t="shared" si="57"/>
        <v>3316.7929999999997</v>
      </c>
      <c r="AC51" s="673">
        <f t="shared" si="58"/>
        <v>3405.913</v>
      </c>
      <c r="AD51" s="633"/>
      <c r="AE51" s="634"/>
      <c r="AF51" s="673">
        <f t="shared" si="59"/>
        <v>89.120000000000346</v>
      </c>
      <c r="AG51" s="930">
        <f>IF(OR(ABS(IF(AF51&lt;0,-ABS(AF51/$AB51),ABS(AF51/$AB51)))&lt;minvar,ABS(IF(AF51&lt;0,-ABS(AF51/$AB51),ABS(AF51/$AB51)))&gt;maxvar)=TRUE,"nm",IF(AF51&lt;0,-ABS(AF51/$AB51),ABS(AF51/$AB51)))</f>
        <v>2.6869328293927405E-2</v>
      </c>
      <c r="AH51" s="635"/>
      <c r="AJ51" s="728"/>
      <c r="AK51" s="728"/>
      <c r="AL51" s="728"/>
      <c r="AM51" s="728"/>
    </row>
    <row r="52" spans="1:76" ht="14.4">
      <c r="G52" s="976"/>
      <c r="H52" s="147"/>
      <c r="I52" s="147"/>
      <c r="J52" s="147"/>
      <c r="K52" s="147"/>
      <c r="L52" s="147"/>
      <c r="M52" s="147"/>
      <c r="AH52"/>
    </row>
    <row r="53" spans="1:76" ht="14.4">
      <c r="G53" s="969"/>
      <c r="H53" s="160"/>
      <c r="I53" s="160"/>
      <c r="J53" s="160"/>
      <c r="K53" s="160"/>
      <c r="L53" s="160"/>
      <c r="M53" s="160"/>
      <c r="N53" s="160"/>
      <c r="O53" s="160"/>
      <c r="P53" s="160"/>
      <c r="Q53" s="160"/>
      <c r="R53" s="160"/>
      <c r="S53" s="417"/>
      <c r="T53" s="417"/>
      <c r="U53" s="417"/>
      <c r="V53" s="160"/>
      <c r="W53" s="160"/>
      <c r="X53" s="160"/>
      <c r="Y53" s="680"/>
      <c r="Z53" s="160"/>
      <c r="AA53" s="160"/>
      <c r="AB53" s="160"/>
      <c r="AC53" s="160"/>
      <c r="AD53" s="160"/>
      <c r="AE53" s="160"/>
      <c r="AF53" s="160"/>
      <c r="AG53" s="680"/>
      <c r="AH53"/>
    </row>
    <row r="54" spans="1:76" ht="14.4">
      <c r="AH54"/>
    </row>
    <row r="55" spans="1:76" ht="30" customHeight="1">
      <c r="G55" s="970" t="s">
        <v>42</v>
      </c>
      <c r="H55" s="1147" t="s">
        <v>853</v>
      </c>
      <c r="I55" s="1147"/>
      <c r="J55" s="1147"/>
      <c r="K55" s="1147"/>
      <c r="L55" s="1147"/>
      <c r="M55" s="1147"/>
      <c r="N55" s="1147"/>
      <c r="O55" s="1147"/>
      <c r="P55" s="1147"/>
      <c r="Q55" s="1147"/>
      <c r="R55" s="1147"/>
      <c r="S55" s="1147"/>
      <c r="T55" s="1147"/>
      <c r="U55" s="1147"/>
      <c r="V55" s="1147"/>
      <c r="W55" s="1147"/>
      <c r="X55" s="1147"/>
      <c r="Y55" s="1147"/>
      <c r="Z55" s="1147"/>
      <c r="AA55" s="1147"/>
      <c r="AB55" s="1147"/>
      <c r="AC55" s="1147"/>
      <c r="AD55" s="1147"/>
      <c r="AE55" s="1147"/>
      <c r="AF55" s="1147"/>
      <c r="AG55" s="1147"/>
      <c r="AH55" s="272"/>
      <c r="AI55" s="272"/>
      <c r="AJ55" s="272"/>
      <c r="AK55" s="272"/>
      <c r="AL55" s="272"/>
      <c r="AM55" s="272"/>
      <c r="AN55" s="272"/>
      <c r="AO55" s="272"/>
      <c r="AP55" s="272"/>
      <c r="AQ55" s="272"/>
      <c r="AR55" s="272"/>
      <c r="AS55" s="272"/>
      <c r="AT55" s="272"/>
      <c r="AU55" s="272"/>
      <c r="AV55" s="272"/>
      <c r="AW55" s="272"/>
      <c r="AX55" s="272"/>
      <c r="AY55" s="272"/>
      <c r="AZ55" s="272"/>
      <c r="BA55" s="272"/>
      <c r="BB55" s="272"/>
      <c r="BC55" s="272"/>
      <c r="BD55" s="272"/>
      <c r="BE55" s="272"/>
      <c r="BF55" s="272"/>
      <c r="BG55" s="272"/>
      <c r="BH55" s="272"/>
      <c r="BI55" s="272"/>
      <c r="BJ55" s="272"/>
      <c r="BK55" s="272"/>
      <c r="BL55" s="272"/>
      <c r="BM55" s="272"/>
      <c r="BN55" s="272"/>
      <c r="BO55" s="272"/>
      <c r="BP55" s="272"/>
      <c r="BQ55" s="272"/>
      <c r="BR55" s="272"/>
      <c r="BS55" s="272"/>
      <c r="BT55" s="272"/>
      <c r="BU55" s="272"/>
      <c r="BV55" s="272"/>
      <c r="BW55" s="272"/>
      <c r="BX55" s="272"/>
    </row>
    <row r="56" spans="1:76" ht="15" customHeight="1">
      <c r="G56" s="970" t="s">
        <v>44</v>
      </c>
      <c r="H56" s="1147" t="s">
        <v>756</v>
      </c>
      <c r="I56" s="1147"/>
      <c r="J56" s="1147"/>
      <c r="K56" s="1147"/>
      <c r="L56" s="1147"/>
      <c r="M56" s="1147"/>
      <c r="N56" s="1147"/>
      <c r="O56" s="1147"/>
      <c r="P56" s="1147"/>
      <c r="Q56" s="1147"/>
      <c r="R56" s="1147"/>
      <c r="S56" s="1147"/>
      <c r="T56" s="1147"/>
      <c r="U56" s="1147"/>
      <c r="V56" s="1147"/>
      <c r="W56" s="1147"/>
      <c r="X56" s="1147"/>
      <c r="Y56" s="1147"/>
      <c r="Z56" s="1147"/>
      <c r="AA56" s="1147"/>
      <c r="AB56" s="1147"/>
      <c r="AC56" s="1147"/>
      <c r="AD56" s="1147"/>
      <c r="AE56" s="1147"/>
      <c r="AF56" s="1147"/>
      <c r="AG56" s="1147"/>
      <c r="AH56" s="272"/>
      <c r="AI56" s="272"/>
      <c r="AJ56" s="272"/>
      <c r="AK56" s="272"/>
      <c r="AL56" s="272"/>
      <c r="AM56" s="272"/>
      <c r="AN56" s="272"/>
      <c r="AO56" s="272"/>
      <c r="AP56" s="272"/>
      <c r="AQ56" s="272"/>
      <c r="AR56" s="272"/>
      <c r="AS56" s="272"/>
      <c r="AT56" s="272"/>
      <c r="AU56" s="272"/>
      <c r="AV56" s="272"/>
      <c r="AW56" s="272"/>
      <c r="AX56" s="272"/>
      <c r="AY56" s="272"/>
      <c r="AZ56" s="272"/>
      <c r="BA56" s="272"/>
      <c r="BB56" s="272"/>
      <c r="BC56" s="272"/>
      <c r="BD56" s="272"/>
      <c r="BE56" s="272"/>
      <c r="BF56" s="272"/>
      <c r="BG56" s="272"/>
      <c r="BH56" s="272"/>
      <c r="BI56" s="272"/>
      <c r="BJ56" s="272"/>
      <c r="BK56" s="272"/>
      <c r="BL56" s="272"/>
      <c r="BM56" s="272"/>
      <c r="BN56" s="272"/>
      <c r="BO56" s="272"/>
      <c r="BP56" s="272"/>
      <c r="BQ56" s="272"/>
      <c r="BR56" s="272"/>
      <c r="BS56" s="272"/>
      <c r="BT56" s="272"/>
      <c r="BU56" s="272"/>
      <c r="BV56" s="272"/>
      <c r="BW56" s="272"/>
      <c r="BX56" s="272"/>
    </row>
    <row r="57" spans="1:76" ht="30" customHeight="1">
      <c r="G57" s="970" t="s">
        <v>211</v>
      </c>
      <c r="H57" s="1147" t="s">
        <v>757</v>
      </c>
      <c r="I57" s="1147"/>
      <c r="J57" s="1147"/>
      <c r="K57" s="1147"/>
      <c r="L57" s="1147"/>
      <c r="M57" s="1147"/>
      <c r="N57" s="1147"/>
      <c r="O57" s="1147"/>
      <c r="P57" s="1147"/>
      <c r="Q57" s="1147"/>
      <c r="R57" s="1147"/>
      <c r="S57" s="1147"/>
      <c r="T57" s="1147"/>
      <c r="U57" s="1147"/>
      <c r="V57" s="1147"/>
      <c r="W57" s="1147"/>
      <c r="X57" s="1147"/>
      <c r="Y57" s="1147"/>
      <c r="Z57" s="1147"/>
      <c r="AA57" s="1147"/>
      <c r="AB57" s="1147"/>
      <c r="AC57" s="1147"/>
      <c r="AD57" s="1147"/>
      <c r="AE57" s="1147"/>
      <c r="AF57" s="1147"/>
      <c r="AG57" s="1147"/>
      <c r="AH57" s="272"/>
      <c r="AI57" s="272"/>
      <c r="AJ57" s="272"/>
      <c r="AK57" s="272"/>
      <c r="AL57" s="272"/>
      <c r="AM57" s="272"/>
      <c r="AN57" s="272"/>
      <c r="AO57" s="272"/>
      <c r="AP57" s="272"/>
      <c r="AQ57" s="272"/>
      <c r="AR57" s="272"/>
      <c r="AS57" s="272"/>
      <c r="AT57" s="272"/>
      <c r="AU57" s="272"/>
      <c r="AV57" s="272"/>
      <c r="AW57" s="272"/>
      <c r="AX57" s="272"/>
      <c r="AY57" s="272"/>
      <c r="AZ57" s="272"/>
      <c r="BA57" s="272"/>
      <c r="BB57" s="272"/>
      <c r="BC57" s="272"/>
      <c r="BD57" s="272"/>
      <c r="BE57" s="272"/>
      <c r="BF57" s="272"/>
      <c r="BG57" s="272"/>
      <c r="BH57" s="272"/>
      <c r="BI57" s="272"/>
      <c r="BJ57" s="272"/>
      <c r="BK57" s="272"/>
      <c r="BL57" s="272"/>
      <c r="BM57" s="272"/>
      <c r="BN57" s="272"/>
      <c r="BO57" s="272"/>
      <c r="BP57" s="272"/>
      <c r="BQ57" s="272"/>
      <c r="BR57" s="272"/>
      <c r="BS57" s="272"/>
      <c r="BT57" s="272"/>
      <c r="BU57" s="272"/>
      <c r="BV57" s="272"/>
      <c r="BW57" s="272"/>
      <c r="BX57" s="272"/>
    </row>
    <row r="70" spans="14:21">
      <c r="N70" s="252" t="str">
        <f>+IS!N$57</f>
        <v>2025 - Q1</v>
      </c>
      <c r="O70" s="252" t="str">
        <f>+IS!O$57</f>
        <v>2025 - Q2</v>
      </c>
      <c r="P70" s="252" t="str">
        <f>+IS!P$57</f>
        <v>2025 - Q3</v>
      </c>
      <c r="Q70" s="252" t="str">
        <f>+IS!Q$57</f>
        <v>2025 - Q4</v>
      </c>
      <c r="R70" s="273" t="str">
        <f>+IS!R$57</f>
        <v>2026 - Q1</v>
      </c>
      <c r="S70" s="346" t="str">
        <f>+IS!S$57</f>
        <v>2026 - Q2</v>
      </c>
      <c r="T70" s="346" t="str">
        <f>+IS!T$57</f>
        <v>2026 - Q3</v>
      </c>
      <c r="U70" s="346" t="str">
        <f>+IS!U$57</f>
        <v>2026 - Q4</v>
      </c>
    </row>
    <row r="71" spans="14:21">
      <c r="N71" s="252" t="str">
        <f t="shared" ref="N71:T71" si="62">+IF(RIGHT(LEFT(N$4,2),1)&lt;=RIGHT(LEFT($B$1,2),1),"Yes","")</f>
        <v>Yes</v>
      </c>
      <c r="O71" s="252" t="str">
        <f t="shared" si="62"/>
        <v>Yes</v>
      </c>
      <c r="P71" s="252" t="str">
        <f t="shared" si="62"/>
        <v/>
      </c>
      <c r="Q71" s="252" t="str">
        <f t="shared" si="62"/>
        <v/>
      </c>
      <c r="R71" s="273" t="str">
        <f t="shared" si="62"/>
        <v>Yes</v>
      </c>
      <c r="S71" s="346" t="str">
        <f t="shared" si="62"/>
        <v>Yes</v>
      </c>
      <c r="T71" s="346" t="str">
        <f t="shared" si="62"/>
        <v/>
      </c>
      <c r="U71" s="346" t="str">
        <f>+IF(RIGHT(LEFT(U$4,2),1)&lt;=RIGHT(LEFT($B$1,2),1),"Yes","")</f>
        <v/>
      </c>
    </row>
  </sheetData>
  <sheetProtection formatCells="0"/>
  <mergeCells count="49">
    <mergeCell ref="K51:M51"/>
    <mergeCell ref="I50:M50"/>
    <mergeCell ref="J44:M44"/>
    <mergeCell ref="J45:M45"/>
    <mergeCell ref="K46:M46"/>
    <mergeCell ref="H48:M48"/>
    <mergeCell ref="I49:M49"/>
    <mergeCell ref="I26:M26"/>
    <mergeCell ref="K27:M27"/>
    <mergeCell ref="I28:M28"/>
    <mergeCell ref="I43:M43"/>
    <mergeCell ref="H30:M30"/>
    <mergeCell ref="I31:M31"/>
    <mergeCell ref="H33:M33"/>
    <mergeCell ref="I34:M34"/>
    <mergeCell ref="I35:M35"/>
    <mergeCell ref="I36:M36"/>
    <mergeCell ref="I37:M37"/>
    <mergeCell ref="I38:M38"/>
    <mergeCell ref="I39:M39"/>
    <mergeCell ref="K40:M40"/>
    <mergeCell ref="I42:M42"/>
    <mergeCell ref="H1:AB1"/>
    <mergeCell ref="AC1:AG1"/>
    <mergeCell ref="I13:M13"/>
    <mergeCell ref="I14:M14"/>
    <mergeCell ref="I15:M15"/>
    <mergeCell ref="X3:Y3"/>
    <mergeCell ref="H7:M7"/>
    <mergeCell ref="I8:M8"/>
    <mergeCell ref="I9:M9"/>
    <mergeCell ref="I10:M10"/>
    <mergeCell ref="I11:M11"/>
    <mergeCell ref="H55:AG55"/>
    <mergeCell ref="H56:AG56"/>
    <mergeCell ref="H57:AG57"/>
    <mergeCell ref="AF3:AG3"/>
    <mergeCell ref="G4:M4"/>
    <mergeCell ref="G5:M5"/>
    <mergeCell ref="K12:M12"/>
    <mergeCell ref="I29:M29"/>
    <mergeCell ref="K16:M16"/>
    <mergeCell ref="I18:M18"/>
    <mergeCell ref="I19:M19"/>
    <mergeCell ref="J20:M20"/>
    <mergeCell ref="J21:M21"/>
    <mergeCell ref="K22:M22"/>
    <mergeCell ref="H24:M24"/>
    <mergeCell ref="I25:M25"/>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E2AF-CF3B-4357-902A-5403392BD795}">
  <sheetPr>
    <pageSetUpPr fitToPage="1"/>
  </sheetPr>
  <dimension ref="A1:BX119"/>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5" width="9.109375" style="145"/>
    <col min="6" max="6" width="9.109375" style="145" customWidth="1"/>
    <col min="7" max="7" width="4.109375" style="892" customWidth="1"/>
    <col min="8" max="12" width="4.109375" style="146" customWidth="1"/>
    <col min="13" max="13" width="32" style="146" customWidth="1"/>
    <col min="14" max="14" width="10.5546875" style="146" bestFit="1" customWidth="1"/>
    <col min="15" max="17" width="10.33203125" style="146" bestFit="1" customWidth="1"/>
    <col min="18" max="18" width="10.5546875" style="146" bestFit="1" customWidth="1"/>
    <col min="19" max="21" width="10.33203125" style="294" bestFit="1" customWidth="1"/>
    <col min="22" max="23" width="0.88671875" style="146" customWidth="1"/>
    <col min="24" max="24" width="8.88671875" style="146" bestFit="1" customWidth="1"/>
    <col min="25" max="25" width="8.88671875" style="641" bestFit="1" customWidth="1"/>
    <col min="26" max="27" width="0.88671875" style="146" customWidth="1"/>
    <col min="28" max="29" width="10.5546875" style="146" bestFit="1" customWidth="1"/>
    <col min="30" max="31" width="0.88671875" style="146" customWidth="1"/>
    <col min="32" max="32" width="9.88671875" style="146" bestFit="1" customWidth="1"/>
    <col min="33" max="33" width="9.44140625" style="641" bestFit="1"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676</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U2" s="683"/>
      <c r="Y2" s="684"/>
      <c r="AG2" s="684"/>
      <c r="AH2" s="661"/>
    </row>
    <row r="3" spans="1:39" s="654" customFormat="1" ht="14.4">
      <c r="A3" s="656"/>
      <c r="B3" s="656"/>
      <c r="C3" s="656"/>
      <c r="D3" s="656"/>
      <c r="E3" s="656"/>
      <c r="F3" s="656"/>
      <c r="G3" s="892"/>
      <c r="H3" s="146"/>
      <c r="I3" s="146"/>
      <c r="J3" s="146"/>
      <c r="K3" s="146"/>
      <c r="L3" s="146"/>
      <c r="M3" s="146"/>
      <c r="N3" s="701"/>
      <c r="O3" s="701"/>
      <c r="P3" s="701"/>
      <c r="Q3" s="701"/>
      <c r="R3" s="701"/>
      <c r="S3" s="701"/>
      <c r="T3" s="701"/>
      <c r="U3" s="701"/>
      <c r="V3" s="703"/>
      <c r="W3" s="655"/>
      <c r="X3" s="1145" t="str">
        <f>+_xlfn.CONCAT("YOY ",LEFT(Manual!$D$1,2))</f>
        <v>YOY Q2</v>
      </c>
      <c r="Y3" s="1145"/>
      <c r="Z3" s="705"/>
      <c r="AA3" s="655"/>
      <c r="AB3" s="655"/>
      <c r="AC3" s="655"/>
      <c r="AD3" s="703"/>
      <c r="AE3" s="655"/>
      <c r="AF3" s="1145" t="s">
        <v>153</v>
      </c>
      <c r="AG3" s="1145"/>
      <c r="AH3" s="661"/>
    </row>
    <row r="4" spans="1:39" s="654" customFormat="1" ht="30" customHeight="1">
      <c r="A4" s="656"/>
      <c r="B4" s="656"/>
      <c r="C4" s="656"/>
      <c r="D4" s="656"/>
      <c r="E4" s="656"/>
      <c r="F4" s="656"/>
      <c r="G4" s="1144" t="s">
        <v>0</v>
      </c>
      <c r="H4" s="1144"/>
      <c r="I4" s="1144"/>
      <c r="J4" s="1144"/>
      <c r="K4" s="1144"/>
      <c r="L4" s="1144"/>
      <c r="M4" s="1144"/>
      <c r="N4" s="663" t="str">
        <f>+IS!N4</f>
        <v>Q1
2025</v>
      </c>
      <c r="O4" s="662" t="str">
        <f>+IS!O4</f>
        <v>Q2
2025</v>
      </c>
      <c r="P4" s="662" t="str">
        <f>+IS!P4</f>
        <v>Q3
2025</v>
      </c>
      <c r="Q4" s="662" t="str">
        <f>+IS!Q4</f>
        <v>Q4
2025</v>
      </c>
      <c r="R4" s="663" t="str">
        <f>+IS!R4</f>
        <v>Q1
2026</v>
      </c>
      <c r="S4" s="662" t="str">
        <f>+IS!S4</f>
        <v>Q2
2026</v>
      </c>
      <c r="T4" s="662" t="str">
        <f>+IS!T4</f>
        <v>Q3
2026</v>
      </c>
      <c r="U4" s="662" t="str">
        <f>+IS!U4</f>
        <v>Q4
2026</v>
      </c>
      <c r="V4" s="703"/>
      <c r="W4" s="655"/>
      <c r="X4" s="687" t="s">
        <v>151</v>
      </c>
      <c r="Y4" s="687" t="s">
        <v>152</v>
      </c>
      <c r="Z4" s="705"/>
      <c r="AA4" s="655"/>
      <c r="AB4" s="662" t="str">
        <f>+_xlfn.CONCAT("YTD ",RIGHT(Q4,4))</f>
        <v>YTD 2025</v>
      </c>
      <c r="AC4" s="662" t="str">
        <f>+_xlfn.CONCAT("YTD ",RIGHT(U4,4))</f>
        <v>YTD 2026</v>
      </c>
      <c r="AD4" s="703"/>
      <c r="AE4" s="655"/>
      <c r="AF4" s="687" t="s">
        <v>151</v>
      </c>
      <c r="AG4" s="687" t="s">
        <v>152</v>
      </c>
      <c r="AH4" s="661"/>
    </row>
    <row r="5" spans="1:39" ht="30" customHeight="1">
      <c r="G5" s="1136" t="s">
        <v>297</v>
      </c>
      <c r="H5" s="1136"/>
      <c r="I5" s="1136"/>
      <c r="J5" s="1136"/>
      <c r="K5" s="1136"/>
      <c r="L5" s="1136"/>
      <c r="M5" s="1136"/>
      <c r="N5" s="159"/>
      <c r="O5" s="147"/>
      <c r="P5" s="147"/>
      <c r="Q5" s="147"/>
      <c r="R5" s="159"/>
      <c r="V5" s="147"/>
      <c r="W5" s="159"/>
      <c r="X5" s="147"/>
      <c r="Y5" s="639"/>
      <c r="Z5" s="256"/>
      <c r="AA5" s="257"/>
      <c r="AB5" s="147"/>
      <c r="AC5" s="147"/>
      <c r="AD5" s="258"/>
      <c r="AE5" s="147"/>
      <c r="AF5" s="147"/>
      <c r="AG5" s="639"/>
      <c r="AH5"/>
    </row>
    <row r="6" spans="1:39" ht="15" customHeight="1">
      <c r="G6" s="1152" t="s">
        <v>94</v>
      </c>
      <c r="H6" s="1152"/>
      <c r="I6" s="1152"/>
      <c r="J6" s="1152"/>
      <c r="K6" s="1152"/>
      <c r="L6" s="1152"/>
      <c r="M6" s="1152"/>
      <c r="N6" s="260"/>
      <c r="O6" s="259"/>
      <c r="P6" s="259"/>
      <c r="Q6" s="259"/>
      <c r="R6" s="260"/>
      <c r="S6" s="259"/>
      <c r="T6" s="259"/>
      <c r="U6" s="259"/>
      <c r="V6" s="261"/>
      <c r="W6" s="257"/>
      <c r="X6" s="259"/>
      <c r="Y6" s="698"/>
      <c r="Z6" s="262"/>
      <c r="AA6" s="257"/>
      <c r="AB6" s="259"/>
      <c r="AC6" s="259"/>
      <c r="AD6" s="261"/>
      <c r="AE6" s="257"/>
      <c r="AF6" s="259"/>
      <c r="AG6" s="698"/>
      <c r="AH6"/>
    </row>
    <row r="7" spans="1:39" s="610" customFormat="1" ht="15" customHeight="1">
      <c r="A7" s="600"/>
      <c r="B7" s="600"/>
      <c r="C7" s="600"/>
      <c r="D7" s="600"/>
      <c r="E7" s="600"/>
      <c r="F7" s="600"/>
      <c r="G7" s="972"/>
      <c r="H7" s="1134" t="s">
        <v>95</v>
      </c>
      <c r="I7" s="1134"/>
      <c r="J7" s="1134"/>
      <c r="K7" s="1134"/>
      <c r="L7" s="1134"/>
      <c r="M7" s="1134"/>
      <c r="N7" s="602">
        <f t="shared" ref="N7:S8" si="0">+SUMIF($H$49:$H$301,$H7,N$49:N$301)*SUMIF($H$49:$H$301,$H7,$G$49:$G$301)</f>
        <v>4414.1976984578823</v>
      </c>
      <c r="O7" s="601">
        <f t="shared" si="0"/>
        <v>4335.3842781201984</v>
      </c>
      <c r="P7" s="601">
        <f t="shared" si="0"/>
        <v>4604.0365300295862</v>
      </c>
      <c r="Q7" s="601">
        <f t="shared" si="0"/>
        <v>3891.688996586372</v>
      </c>
      <c r="R7" s="602">
        <f t="shared" si="0"/>
        <v>4043.556013960032</v>
      </c>
      <c r="S7" s="601">
        <f t="shared" si="0"/>
        <v>4149.2475143903366</v>
      </c>
      <c r="T7" s="601"/>
      <c r="U7" s="601"/>
      <c r="V7" s="603"/>
      <c r="W7" s="605"/>
      <c r="X7" s="601">
        <f>+SUMIF($N$4:$U$4,$B$1,$N7:$U7)-SUMIF($N$4:$U$4,$A$1,$N7:$U7)</f>
        <v>-186.13676372986174</v>
      </c>
      <c r="Y7" s="902">
        <f>IF(OR(ABS(IF(X7&lt;0,-ABS(X7/SUMIF($N$4:$U$4,$A$1,$N7:$U7)),ABS(X7/SUMIF($N$4:$U$4,$A$1,$N7:$U7))))&lt;minvar,ABS(IF(X7&lt;0,-ABS(X7/SUMIF($N$4:$U$4,$A$1,$N7:$U7)),ABS(X7/SUMIF($N$4:$U$4,$A$1,$N7:$U7))))&gt;maxvar)=TRUE,"nm",IF(X7&lt;0,-ABS(X7/SUMIF($N$4:$U$4,$A$1,$N7:$U7)),ABS(X7/SUMIF($N$4:$U$4,$A$1,$N7:$U7))))</f>
        <v>-4.2934317188272349E-2</v>
      </c>
      <c r="Z7" s="709"/>
      <c r="AA7" s="605"/>
      <c r="AB7" s="601">
        <f>+SUMIF($N$48:$Q$48,"Yes",$N7:$Q7)</f>
        <v>8749.5819765780798</v>
      </c>
      <c r="AC7" s="601">
        <f>+SUMIF($R$48:$U$48,"Yes",$R7:$U7)</f>
        <v>8192.8035283503687</v>
      </c>
      <c r="AD7" s="603"/>
      <c r="AE7" s="605"/>
      <c r="AF7" s="601">
        <f>+$AC7-$AB7</f>
        <v>-556.77844822771112</v>
      </c>
      <c r="AG7" s="902">
        <f>IF(OR(ABS(IF(AF7&lt;0,-ABS(AF7/$AB7),ABS(AF7/$AB7)))&lt;minvar,ABS(IF(AF7&lt;0,-ABS(AF7/$AB7),ABS(AF7/$AB7)))&gt;maxvar)=TRUE,"nm",IF(AF7&lt;0,-ABS(AF7/$AB7),ABS(AF7/$AB7)))</f>
        <v>-6.3634862753233448E-2</v>
      </c>
      <c r="AH7" s="609"/>
    </row>
    <row r="8" spans="1:39" s="636" customFormat="1" ht="15" customHeight="1">
      <c r="A8" s="626"/>
      <c r="B8" s="626"/>
      <c r="C8" s="626"/>
      <c r="D8" s="626"/>
      <c r="E8" s="626"/>
      <c r="F8" s="626"/>
      <c r="G8" s="972"/>
      <c r="H8" s="1134" t="s">
        <v>96</v>
      </c>
      <c r="I8" s="1134"/>
      <c r="J8" s="1134"/>
      <c r="K8" s="1134"/>
      <c r="L8" s="1134"/>
      <c r="M8" s="1134"/>
      <c r="N8" s="630">
        <f t="shared" si="0"/>
        <v>-1187.4017899999999</v>
      </c>
      <c r="O8" s="629">
        <f t="shared" si="0"/>
        <v>-1102.1429700000001</v>
      </c>
      <c r="P8" s="629">
        <f t="shared" si="0"/>
        <v>-1168.6756600000001</v>
      </c>
      <c r="Q8" s="629">
        <f t="shared" si="0"/>
        <v>-1570.5292999999999</v>
      </c>
      <c r="R8" s="630">
        <f t="shared" si="0"/>
        <v>-1015.55861</v>
      </c>
      <c r="S8" s="629">
        <f t="shared" si="0"/>
        <v>-1038.7718</v>
      </c>
      <c r="T8" s="629"/>
      <c r="U8" s="629"/>
      <c r="V8" s="778"/>
      <c r="W8" s="634"/>
      <c r="X8" s="629">
        <f>+SUMIF($N$4:$U$4,$B$1,$N8:$U8)-SUMIF($N$4:$U$4,$A$1,$N8:$U8)</f>
        <v>63.37117000000012</v>
      </c>
      <c r="Y8" s="902">
        <f>IF(OR(ABS(IF(X8&lt;0,-ABS(X8/SUMIF($N$4:$U$4,$A$1,$N8:$U8)),ABS(X8/SUMIF($N$4:$U$4,$A$1,$N8:$U8))))&lt;minvar,ABS(IF(X8&lt;0,-ABS(X8/SUMIF($N$4:$U$4,$A$1,$N8:$U8)),ABS(X8/SUMIF($N$4:$U$4,$A$1,$N8:$U8))))&gt;maxvar)=TRUE,"nm",IF(X8&lt;0,-ABS(X8/SUMIF($N$4:$U$4,$A$1,$N8:$U8)),ABS(X8/SUMIF($N$4:$U$4,$A$1,$N8:$U8))))</f>
        <v>5.7498139284053243E-2</v>
      </c>
      <c r="Z8" s="779"/>
      <c r="AA8" s="634"/>
      <c r="AB8" s="629">
        <f>+SUMIF($N$48:$Q$48,"Yes",$N8:$Q8)</f>
        <v>-2289.5447599999998</v>
      </c>
      <c r="AC8" s="629">
        <f>+SUMIF($R$48:$U$48,"Yes",$R8:$U8)</f>
        <v>-2054.33041</v>
      </c>
      <c r="AD8" s="778"/>
      <c r="AE8" s="634"/>
      <c r="AF8" s="629">
        <f t="shared" ref="AF8:AF10" si="1">+$AC8-$AB8</f>
        <v>235.21434999999974</v>
      </c>
      <c r="AG8" s="902">
        <f>IF(OR(ABS(IF(AF8&lt;0,-ABS(AF8/$AB8),ABS(AF8/$AB8)))&lt;minvar,ABS(IF(AF8&lt;0,-ABS(AF8/$AB8),ABS(AF8/$AB8)))&gt;maxvar)=TRUE,"nm",IF(AF8&lt;0,-ABS(AF8/$AB8),ABS(AF8/$AB8)))</f>
        <v>0.10273411295964345</v>
      </c>
      <c r="AH8" s="635"/>
      <c r="AJ8" s="610"/>
      <c r="AK8" s="610"/>
      <c r="AL8" s="610"/>
      <c r="AM8" s="610"/>
    </row>
    <row r="9" spans="1:39" s="636" customFormat="1" ht="15" customHeight="1">
      <c r="A9" s="626"/>
      <c r="B9" s="626"/>
      <c r="C9" s="626"/>
      <c r="D9" s="626"/>
      <c r="E9" s="626"/>
      <c r="F9" s="626"/>
      <c r="G9" s="972"/>
      <c r="H9" s="1156" t="s">
        <v>97</v>
      </c>
      <c r="I9" s="1156"/>
      <c r="J9" s="1156"/>
      <c r="K9" s="1156"/>
      <c r="L9" s="1156"/>
      <c r="M9" s="1156"/>
      <c r="N9" s="674">
        <f t="shared" ref="N9:Q9" si="2">+SUM(N7:N8)</f>
        <v>3226.7959084578824</v>
      </c>
      <c r="O9" s="673">
        <f t="shared" si="2"/>
        <v>3233.2413081201985</v>
      </c>
      <c r="P9" s="673">
        <f t="shared" si="2"/>
        <v>3435.3608700295863</v>
      </c>
      <c r="Q9" s="673">
        <f t="shared" si="2"/>
        <v>2321.1596965863719</v>
      </c>
      <c r="R9" s="674">
        <f t="shared" ref="R9" si="3">+SUM(R7:R8)</f>
        <v>3027.997403960032</v>
      </c>
      <c r="S9" s="673">
        <f t="shared" ref="S9" si="4">+SUM(S7:S8)</f>
        <v>3110.4757143903366</v>
      </c>
      <c r="T9" s="673"/>
      <c r="U9" s="673"/>
      <c r="V9" s="633"/>
      <c r="W9" s="634"/>
      <c r="X9" s="673">
        <f>+SUMIF($N$4:$U$4,$B$1,$N9:$U9)-SUMIF($N$4:$U$4,$A$1,$N9:$U9)</f>
        <v>-122.76559372986185</v>
      </c>
      <c r="Y9" s="904">
        <f>IF(OR(ABS(IF(X9&lt;0,-ABS(X9/SUMIF($N$4:$U$4,$A$1,$N9:$U9)),ABS(X9/SUMIF($N$4:$U$4,$A$1,$N9:$U9))))&lt;minvar,ABS(IF(X9&lt;0,-ABS(X9/SUMIF($N$4:$U$4,$A$1,$N9:$U9)),ABS(X9/SUMIF($N$4:$U$4,$A$1,$N9:$U9))))&gt;maxvar)=TRUE,"nm",IF(X9&lt;0,-ABS(X9/SUMIF($N$4:$U$4,$A$1,$N9:$U9)),ABS(X9/SUMIF($N$4:$U$4,$A$1,$N9:$U9))))</f>
        <v>-3.796982100331929E-2</v>
      </c>
      <c r="Z9" s="718"/>
      <c r="AA9" s="634"/>
      <c r="AB9" s="673">
        <f>+SUMIF($N$48:$Q$48,"Yes",$N9:$Q9)</f>
        <v>6460.0372165780809</v>
      </c>
      <c r="AC9" s="673">
        <f>+SUMIF($R$48:$U$48,"Yes",$R9:$U9)</f>
        <v>6138.4731183503682</v>
      </c>
      <c r="AD9" s="633"/>
      <c r="AE9" s="634"/>
      <c r="AF9" s="673">
        <f t="shared" si="1"/>
        <v>-321.56409822771275</v>
      </c>
      <c r="AG9" s="904">
        <f>IF(OR(ABS(IF(AF9&lt;0,-ABS(AF9/$AB9),ABS(AF9/$AB9)))&lt;minvar,ABS(IF(AF9&lt;0,-ABS(AF9/$AB9),ABS(AF9/$AB9)))&gt;maxvar)=TRUE,"nm",IF(AF9&lt;0,-ABS(AF9/$AB9),ABS(AF9/$AB9)))</f>
        <v>-4.9777437412047466E-2</v>
      </c>
      <c r="AH9" s="635"/>
      <c r="AJ9" s="610"/>
      <c r="AK9" s="610"/>
      <c r="AL9" s="610"/>
      <c r="AM9" s="610"/>
    </row>
    <row r="10" spans="1:39" s="636" customFormat="1" ht="15" customHeight="1">
      <c r="A10" s="626"/>
      <c r="B10" s="626"/>
      <c r="C10" s="626"/>
      <c r="D10" s="626"/>
      <c r="E10" s="626"/>
      <c r="F10" s="626"/>
      <c r="G10" s="972"/>
      <c r="H10" s="1134" t="s">
        <v>158</v>
      </c>
      <c r="I10" s="1134"/>
      <c r="J10" s="1134"/>
      <c r="K10" s="1134"/>
      <c r="L10" s="1134"/>
      <c r="M10" s="1134"/>
      <c r="N10" s="630">
        <f t="shared" ref="N10:S10" si="5">+SUMIF($H$49:$H$301,$H10,N$49:N$301)*SUMIF($H$49:$H$301,$H10,$G$49:$G$301)</f>
        <v>41140.781703795561</v>
      </c>
      <c r="O10" s="629">
        <f t="shared" si="5"/>
        <v>40746.224755971751</v>
      </c>
      <c r="P10" s="629">
        <f t="shared" si="5"/>
        <v>42109.807420362587</v>
      </c>
      <c r="Q10" s="629">
        <f t="shared" si="5"/>
        <v>42588.167120367209</v>
      </c>
      <c r="R10" s="630">
        <f t="shared" si="5"/>
        <v>43283.190339651846</v>
      </c>
      <c r="S10" s="629">
        <f t="shared" si="5"/>
        <v>43737.713256372801</v>
      </c>
      <c r="T10" s="629"/>
      <c r="U10" s="629"/>
      <c r="V10" s="633"/>
      <c r="W10" s="634"/>
      <c r="X10" s="629">
        <f>+SUMIF($N$4:$U$4,$B$1,$N10:$U10)-SUMIF($N$4:$U$4,$A$1,$N10:$U10)</f>
        <v>2991.4885004010503</v>
      </c>
      <c r="Y10" s="902">
        <f>IF(OR(ABS(IF(X10&lt;0,-ABS(X10/SUMIF($N$4:$U$4,$A$1,$N10:$U10)),ABS(X10/SUMIF($N$4:$U$4,$A$1,$N10:$U10))))&lt;minvar,ABS(IF(X10&lt;0,-ABS(X10/SUMIF($N$4:$U$4,$A$1,$N10:$U10)),ABS(X10/SUMIF($N$4:$U$4,$A$1,$N10:$U10))))&gt;maxvar)=TRUE,"nm",IF(X10&lt;0,-ABS(X10/SUMIF($N$4:$U$4,$A$1,$N10:$U10)),ABS(X10/SUMIF($N$4:$U$4,$A$1,$N10:$U10))))</f>
        <v>7.3417562444545711E-2</v>
      </c>
      <c r="Z10" s="718"/>
      <c r="AA10" s="634"/>
      <c r="AB10" s="629">
        <f>+SUMIF($N$48:$Q$48,"Yes",$N10:$Q10)</f>
        <v>81887.006459767319</v>
      </c>
      <c r="AC10" s="629">
        <f>+SUMIF($R$48:$U$48,"Yes",$R10:$U10)</f>
        <v>87020.90359602464</v>
      </c>
      <c r="AD10" s="633"/>
      <c r="AE10" s="634"/>
      <c r="AF10" s="629">
        <f t="shared" si="1"/>
        <v>5133.8971362573211</v>
      </c>
      <c r="AG10" s="902">
        <f>IF(OR(ABS(IF(AF10&lt;0,-ABS(AF10/$AB10),ABS(AF10/$AB10)))&lt;minvar,ABS(IF(AF10&lt;0,-ABS(AF10/$AB10),ABS(AF10/$AB10)))&gt;maxvar)=TRUE,"nm",IF(AF10&lt;0,-ABS(AF10/$AB10),ABS(AF10/$AB10)))</f>
        <v>6.2694893344033831E-2</v>
      </c>
      <c r="AH10" s="635"/>
      <c r="AJ10" s="610"/>
      <c r="AK10" s="610"/>
      <c r="AL10" s="610"/>
      <c r="AM10" s="610"/>
    </row>
    <row r="11" spans="1:39" s="636" customFormat="1" ht="15" customHeight="1">
      <c r="A11" s="626"/>
      <c r="B11" s="626"/>
      <c r="C11" s="626"/>
      <c r="D11" s="626"/>
      <c r="E11" s="626"/>
      <c r="F11" s="626"/>
      <c r="G11" s="972"/>
      <c r="H11" s="1134" t="s">
        <v>99</v>
      </c>
      <c r="I11" s="1134"/>
      <c r="J11" s="1134"/>
      <c r="K11" s="1134"/>
      <c r="L11" s="1134"/>
      <c r="M11" s="1134"/>
      <c r="N11" s="630"/>
      <c r="O11" s="629"/>
      <c r="P11" s="629"/>
      <c r="Q11" s="629"/>
      <c r="R11" s="630"/>
      <c r="S11" s="629"/>
      <c r="T11" s="629"/>
      <c r="U11" s="629"/>
      <c r="V11" s="633"/>
      <c r="W11" s="634"/>
      <c r="X11" s="629"/>
      <c r="Y11" s="902"/>
      <c r="Z11" s="718"/>
      <c r="AA11" s="634"/>
      <c r="AB11" s="629"/>
      <c r="AC11" s="629"/>
      <c r="AD11" s="633"/>
      <c r="AE11" s="634"/>
      <c r="AF11" s="629"/>
      <c r="AG11" s="902"/>
      <c r="AH11" s="635"/>
      <c r="AJ11" s="610"/>
      <c r="AK11" s="610"/>
      <c r="AL11" s="610"/>
      <c r="AM11" s="610"/>
    </row>
    <row r="12" spans="1:39" s="636" customFormat="1" ht="15" customHeight="1">
      <c r="A12" s="626"/>
      <c r="B12" s="626"/>
      <c r="C12" s="626"/>
      <c r="D12" s="626"/>
      <c r="E12" s="626"/>
      <c r="F12" s="626"/>
      <c r="G12" s="972"/>
      <c r="H12" s="1155" t="s">
        <v>854</v>
      </c>
      <c r="I12" s="1155"/>
      <c r="J12" s="1155"/>
      <c r="K12" s="1155"/>
      <c r="L12" s="1155"/>
      <c r="M12" s="1155"/>
      <c r="N12" s="630">
        <f t="shared" ref="N12:S16" si="6">+SUMIF($H$49:$H$301,$H12,N$49:N$301)*SUMIF($H$49:$H$301,$H12,$G$49:$G$301)</f>
        <v>3681.9366850460251</v>
      </c>
      <c r="O12" s="629">
        <f t="shared" si="6"/>
        <v>4008.6496494854832</v>
      </c>
      <c r="P12" s="629">
        <f t="shared" si="6"/>
        <v>2303.7089411503457</v>
      </c>
      <c r="Q12" s="629">
        <f t="shared" si="6"/>
        <v>3478.7041494376149</v>
      </c>
      <c r="R12" s="630">
        <f t="shared" si="6"/>
        <v>3325.895333831671</v>
      </c>
      <c r="S12" s="629">
        <f t="shared" si="6"/>
        <v>3934.6298931391689</v>
      </c>
      <c r="T12" s="629"/>
      <c r="U12" s="629"/>
      <c r="V12" s="631"/>
      <c r="W12" s="634"/>
      <c r="X12" s="629">
        <f t="shared" ref="X12:X17" si="7">+SUMIF($N$4:$U$4,$B$1,$N12:$U12)-SUMIF($N$4:$U$4,$A$1,$N12:$U12)</f>
        <v>-74.019756346314352</v>
      </c>
      <c r="Y12" s="902">
        <f t="shared" ref="Y12:Y17" si="8">IF(OR(ABS(IF(X12&lt;0,-ABS(X12/SUMIF($N$4:$U$4,$A$1,$N12:$U12)),ABS(X12/SUMIF($N$4:$U$4,$A$1,$N12:$U12))))&lt;minvar,ABS(IF(X12&lt;0,-ABS(X12/SUMIF($N$4:$U$4,$A$1,$N12:$U12)),ABS(X12/SUMIF($N$4:$U$4,$A$1,$N12:$U12))))&gt;maxvar)=TRUE,"nm",IF(X12&lt;0,-ABS(X12/SUMIF($N$4:$U$4,$A$1,$N12:$U12)),ABS(X12/SUMIF($N$4:$U$4,$A$1,$N12:$U12))))</f>
        <v>-1.8465010120257058E-2</v>
      </c>
      <c r="Z12" s="713"/>
      <c r="AA12" s="634"/>
      <c r="AB12" s="629">
        <f t="shared" ref="AB12:AB17" si="9">+SUMIF($N$48:$Q$48,"Yes",$N12:$Q12)</f>
        <v>7690.5863345315083</v>
      </c>
      <c r="AC12" s="629">
        <f t="shared" ref="AC12:AC17" si="10">+SUMIF($R$48:$U$48,"Yes",$R12:$U12)</f>
        <v>7260.5252269708399</v>
      </c>
      <c r="AD12" s="631"/>
      <c r="AE12" s="634"/>
      <c r="AF12" s="629">
        <f t="shared" ref="AF12:AF17" si="11">+$AC12-$AB12</f>
        <v>-430.06110756066846</v>
      </c>
      <c r="AG12" s="902">
        <f t="shared" ref="AG12:AG17" si="12">IF(OR(ABS(IF(AF12&lt;0,-ABS(AF12/$AB12),ABS(AF12/$AB12)))&lt;minvar,ABS(IF(AF12&lt;0,-ABS(AF12/$AB12),ABS(AF12/$AB12)))&gt;maxvar)=TRUE,"nm",IF(AF12&lt;0,-ABS(AF12/$AB12),ABS(AF12/$AB12)))</f>
        <v>-5.5920457667791947E-2</v>
      </c>
      <c r="AH12" s="635"/>
      <c r="AJ12" s="610"/>
      <c r="AK12" s="610"/>
      <c r="AL12" s="610"/>
      <c r="AM12" s="610"/>
    </row>
    <row r="13" spans="1:39" s="636" customFormat="1" ht="15" customHeight="1">
      <c r="A13" s="626"/>
      <c r="B13" s="626"/>
      <c r="C13" s="626"/>
      <c r="D13" s="626"/>
      <c r="E13" s="626"/>
      <c r="F13" s="626"/>
      <c r="G13" s="972"/>
      <c r="H13" s="1155" t="s">
        <v>855</v>
      </c>
      <c r="I13" s="1155"/>
      <c r="J13" s="1155"/>
      <c r="K13" s="1155"/>
      <c r="L13" s="1155"/>
      <c r="M13" s="1155"/>
      <c r="N13" s="630">
        <f t="shared" si="6"/>
        <v>1965.6590165235843</v>
      </c>
      <c r="O13" s="629">
        <f t="shared" si="6"/>
        <v>2439.8628853852565</v>
      </c>
      <c r="P13" s="629">
        <f t="shared" si="6"/>
        <v>2941.4981801724298</v>
      </c>
      <c r="Q13" s="629">
        <f t="shared" si="6"/>
        <v>2244.8686319789726</v>
      </c>
      <c r="R13" s="630">
        <f t="shared" si="6"/>
        <v>1987.8724194406452</v>
      </c>
      <c r="S13" s="629">
        <f t="shared" si="6"/>
        <v>2338.578364795891</v>
      </c>
      <c r="T13" s="629"/>
      <c r="U13" s="629"/>
      <c r="V13" s="631"/>
      <c r="W13" s="634"/>
      <c r="X13" s="629">
        <f t="shared" si="7"/>
        <v>-101.28452058936546</v>
      </c>
      <c r="Y13" s="902">
        <f t="shared" si="8"/>
        <v>-4.1512382190023164E-2</v>
      </c>
      <c r="Z13" s="713"/>
      <c r="AA13" s="634"/>
      <c r="AB13" s="629">
        <f t="shared" si="9"/>
        <v>4405.5219019088408</v>
      </c>
      <c r="AC13" s="629">
        <f t="shared" si="10"/>
        <v>4326.4507842365365</v>
      </c>
      <c r="AD13" s="631"/>
      <c r="AE13" s="634"/>
      <c r="AF13" s="629">
        <f t="shared" si="11"/>
        <v>-79.071117672304354</v>
      </c>
      <c r="AG13" s="902">
        <f t="shared" si="12"/>
        <v>-1.7948183991105374E-2</v>
      </c>
      <c r="AH13" s="635"/>
      <c r="AJ13" s="610"/>
      <c r="AK13" s="610"/>
      <c r="AL13" s="610"/>
      <c r="AM13" s="610"/>
    </row>
    <row r="14" spans="1:39" s="636" customFormat="1" ht="15" customHeight="1">
      <c r="A14" s="626"/>
      <c r="B14" s="626"/>
      <c r="C14" s="626"/>
      <c r="D14" s="626"/>
      <c r="E14" s="626"/>
      <c r="F14" s="626"/>
      <c r="G14" s="972"/>
      <c r="H14" s="1155" t="s">
        <v>298</v>
      </c>
      <c r="I14" s="1155"/>
      <c r="J14" s="1155"/>
      <c r="K14" s="1155"/>
      <c r="L14" s="1155"/>
      <c r="M14" s="1155"/>
      <c r="N14" s="630">
        <f t="shared" si="6"/>
        <v>2128.6876400000001</v>
      </c>
      <c r="O14" s="629">
        <f t="shared" si="6"/>
        <v>3019.68831</v>
      </c>
      <c r="P14" s="629">
        <f t="shared" si="6"/>
        <v>3281.2966500000002</v>
      </c>
      <c r="Q14" s="629">
        <f t="shared" si="6"/>
        <v>2984.4125800000002</v>
      </c>
      <c r="R14" s="630">
        <f t="shared" si="6"/>
        <v>2552.8225699999998</v>
      </c>
      <c r="S14" s="629">
        <f t="shared" si="6"/>
        <v>3416.08115</v>
      </c>
      <c r="T14" s="629"/>
      <c r="U14" s="629"/>
      <c r="V14" s="631"/>
      <c r="W14" s="634"/>
      <c r="X14" s="629">
        <f t="shared" si="7"/>
        <v>396.39283999999998</v>
      </c>
      <c r="Y14" s="902">
        <f t="shared" si="8"/>
        <v>0.13126945542270221</v>
      </c>
      <c r="Z14" s="713"/>
      <c r="AA14" s="634"/>
      <c r="AB14" s="629">
        <f t="shared" si="9"/>
        <v>5148.3759499999996</v>
      </c>
      <c r="AC14" s="629">
        <f t="shared" si="10"/>
        <v>5968.9037200000002</v>
      </c>
      <c r="AD14" s="631"/>
      <c r="AE14" s="634"/>
      <c r="AF14" s="629">
        <f t="shared" si="11"/>
        <v>820.5277700000006</v>
      </c>
      <c r="AG14" s="902">
        <f t="shared" si="12"/>
        <v>0.15937603973928918</v>
      </c>
      <c r="AH14" s="635"/>
      <c r="AJ14" s="610"/>
      <c r="AK14" s="610"/>
      <c r="AL14" s="610"/>
      <c r="AM14" s="610"/>
    </row>
    <row r="15" spans="1:39" s="636" customFormat="1" ht="14.4">
      <c r="A15" s="626"/>
      <c r="B15" s="626"/>
      <c r="C15" s="626"/>
      <c r="D15" s="626"/>
      <c r="E15" s="626"/>
      <c r="F15" s="626"/>
      <c r="G15" s="972"/>
      <c r="H15" s="1155" t="s">
        <v>108</v>
      </c>
      <c r="I15" s="1155"/>
      <c r="J15" s="1155"/>
      <c r="K15" s="1155"/>
      <c r="L15" s="1155"/>
      <c r="M15" s="1155"/>
      <c r="N15" s="630">
        <f t="shared" si="6"/>
        <v>1701.1332571176754</v>
      </c>
      <c r="O15" s="629">
        <f t="shared" si="6"/>
        <v>1502.0417545144628</v>
      </c>
      <c r="P15" s="629">
        <f t="shared" si="6"/>
        <v>1619.5124167624399</v>
      </c>
      <c r="Q15" s="629">
        <f t="shared" si="6"/>
        <v>1618.1206393947559</v>
      </c>
      <c r="R15" s="630">
        <f t="shared" si="6"/>
        <v>1534.5752592930421</v>
      </c>
      <c r="S15" s="629">
        <f t="shared" si="6"/>
        <v>1695.3535162138724</v>
      </c>
      <c r="T15" s="629"/>
      <c r="U15" s="629"/>
      <c r="V15" s="631"/>
      <c r="W15" s="634"/>
      <c r="X15" s="629">
        <f t="shared" si="7"/>
        <v>193.31176169940954</v>
      </c>
      <c r="Y15" s="926">
        <f t="shared" si="8"/>
        <v>0.12869932617944954</v>
      </c>
      <c r="Z15" s="713"/>
      <c r="AA15" s="634"/>
      <c r="AB15" s="629">
        <f t="shared" si="9"/>
        <v>3203.1750116321382</v>
      </c>
      <c r="AC15" s="629">
        <f t="shared" si="10"/>
        <v>3229.9287755069145</v>
      </c>
      <c r="AD15" s="631"/>
      <c r="AE15" s="634"/>
      <c r="AF15" s="629">
        <f t="shared" si="11"/>
        <v>26.753763874776268</v>
      </c>
      <c r="AG15" s="902">
        <f t="shared" si="12"/>
        <v>8.3522641684021567E-3</v>
      </c>
      <c r="AH15" s="635"/>
      <c r="AJ15" s="610"/>
      <c r="AK15" s="610"/>
      <c r="AL15" s="610"/>
      <c r="AM15" s="610"/>
    </row>
    <row r="16" spans="1:39" s="636" customFormat="1" ht="15" customHeight="1">
      <c r="A16" s="626"/>
      <c r="B16" s="626"/>
      <c r="C16" s="626"/>
      <c r="D16" s="626"/>
      <c r="E16" s="626"/>
      <c r="F16" s="626"/>
      <c r="G16" s="972"/>
      <c r="H16" s="1134" t="s">
        <v>35</v>
      </c>
      <c r="I16" s="1134"/>
      <c r="J16" s="1134"/>
      <c r="K16" s="1134"/>
      <c r="L16" s="1134"/>
      <c r="M16" s="1134"/>
      <c r="N16" s="630">
        <f t="shared" si="6"/>
        <v>1057.2703590870738</v>
      </c>
      <c r="O16" s="629">
        <f t="shared" si="6"/>
        <v>937.52935710993643</v>
      </c>
      <c r="P16" s="629">
        <f t="shared" si="6"/>
        <v>1098.1663877565277</v>
      </c>
      <c r="Q16" s="629">
        <f t="shared" si="6"/>
        <v>1105.5557772252087</v>
      </c>
      <c r="R16" s="630">
        <f t="shared" si="6"/>
        <v>1306.6119133989046</v>
      </c>
      <c r="S16" s="629">
        <f t="shared" si="6"/>
        <v>1017.5963795211615</v>
      </c>
      <c r="T16" s="629"/>
      <c r="U16" s="629"/>
      <c r="V16" s="633"/>
      <c r="W16" s="634"/>
      <c r="X16" s="629">
        <f t="shared" si="7"/>
        <v>80.067022411225025</v>
      </c>
      <c r="Y16" s="902">
        <f t="shared" si="8"/>
        <v>8.5402149600992405E-2</v>
      </c>
      <c r="Z16" s="718"/>
      <c r="AA16" s="634"/>
      <c r="AB16" s="629">
        <f t="shared" si="9"/>
        <v>1994.7997161970102</v>
      </c>
      <c r="AC16" s="629">
        <f t="shared" si="10"/>
        <v>2324.208292920066</v>
      </c>
      <c r="AD16" s="633"/>
      <c r="AE16" s="634"/>
      <c r="AF16" s="629">
        <f t="shared" si="11"/>
        <v>329.40857672305583</v>
      </c>
      <c r="AG16" s="902">
        <f t="shared" si="12"/>
        <v>0.16513365930844298</v>
      </c>
      <c r="AH16" s="635"/>
      <c r="AJ16" s="610"/>
      <c r="AK16" s="610"/>
      <c r="AL16" s="610"/>
      <c r="AM16" s="610"/>
    </row>
    <row r="17" spans="1:39" s="636" customFormat="1" ht="15" customHeight="1">
      <c r="A17" s="626"/>
      <c r="B17" s="626"/>
      <c r="C17" s="626"/>
      <c r="D17" s="626"/>
      <c r="E17" s="626"/>
      <c r="F17" s="626"/>
      <c r="G17" s="972"/>
      <c r="H17" s="1156" t="s">
        <v>163</v>
      </c>
      <c r="I17" s="1156"/>
      <c r="J17" s="1156"/>
      <c r="K17" s="1156"/>
      <c r="L17" s="1156"/>
      <c r="M17" s="1156"/>
      <c r="N17" s="677">
        <f t="shared" ref="N17:Q17" si="13">+SUM(N9:N16)</f>
        <v>54902.264570027801</v>
      </c>
      <c r="O17" s="676">
        <f t="shared" si="13"/>
        <v>55887.23802058708</v>
      </c>
      <c r="P17" s="676">
        <f t="shared" si="13"/>
        <v>56789.350866233923</v>
      </c>
      <c r="Q17" s="676">
        <f t="shared" si="13"/>
        <v>56340.988594990129</v>
      </c>
      <c r="R17" s="677">
        <f t="shared" ref="R17" si="14">+SUM(R9:R16)</f>
        <v>57018.965239576144</v>
      </c>
      <c r="S17" s="676">
        <f t="shared" ref="S17" si="15">+SUM(S9:S16)</f>
        <v>59250.42827443323</v>
      </c>
      <c r="T17" s="676"/>
      <c r="U17" s="676"/>
      <c r="V17" s="633"/>
      <c r="W17" s="634"/>
      <c r="X17" s="676">
        <f t="shared" si="7"/>
        <v>3363.1902538461509</v>
      </c>
      <c r="Y17" s="927">
        <f t="shared" si="8"/>
        <v>6.0178143937033683E-2</v>
      </c>
      <c r="Z17" s="718"/>
      <c r="AA17" s="634"/>
      <c r="AB17" s="676">
        <f t="shared" si="9"/>
        <v>110789.50259061488</v>
      </c>
      <c r="AC17" s="676">
        <f t="shared" si="10"/>
        <v>116269.39351400937</v>
      </c>
      <c r="AD17" s="633"/>
      <c r="AE17" s="634"/>
      <c r="AF17" s="676">
        <f t="shared" si="11"/>
        <v>5479.8909233944869</v>
      </c>
      <c r="AG17" s="927">
        <f t="shared" si="12"/>
        <v>4.9462185453107141E-2</v>
      </c>
      <c r="AH17" s="635"/>
      <c r="AJ17" s="610"/>
      <c r="AK17" s="610"/>
      <c r="AL17" s="610"/>
      <c r="AM17" s="610"/>
    </row>
    <row r="18" spans="1:39" s="636" customFormat="1" ht="15" customHeight="1">
      <c r="A18" s="626"/>
      <c r="B18" s="626"/>
      <c r="C18" s="626"/>
      <c r="D18" s="626"/>
      <c r="E18" s="626"/>
      <c r="F18" s="626"/>
      <c r="G18" s="972"/>
      <c r="H18" s="973"/>
      <c r="I18" s="973"/>
      <c r="J18" s="973"/>
      <c r="K18" s="973"/>
      <c r="L18" s="973"/>
      <c r="M18" s="973"/>
      <c r="N18" s="630"/>
      <c r="O18" s="629"/>
      <c r="P18" s="629"/>
      <c r="Q18" s="629"/>
      <c r="R18" s="630"/>
      <c r="S18" s="629"/>
      <c r="T18" s="629"/>
      <c r="U18" s="629"/>
      <c r="V18" s="633"/>
      <c r="W18" s="634"/>
      <c r="X18" s="629"/>
      <c r="Y18" s="902"/>
      <c r="Z18" s="718"/>
      <c r="AA18" s="634"/>
      <c r="AB18" s="629"/>
      <c r="AC18" s="629"/>
      <c r="AD18" s="633"/>
      <c r="AE18" s="634"/>
      <c r="AF18" s="629"/>
      <c r="AG18" s="902"/>
      <c r="AH18" s="635"/>
      <c r="AJ18" s="610"/>
      <c r="AK18" s="610"/>
      <c r="AL18" s="610"/>
      <c r="AM18" s="610"/>
    </row>
    <row r="19" spans="1:39" s="636" customFormat="1" ht="15" customHeight="1">
      <c r="A19" s="626"/>
      <c r="B19" s="626"/>
      <c r="C19" s="626"/>
      <c r="D19" s="626"/>
      <c r="E19" s="626"/>
      <c r="F19" s="626"/>
      <c r="G19" s="1152" t="s">
        <v>102</v>
      </c>
      <c r="H19" s="1152"/>
      <c r="I19" s="1152"/>
      <c r="J19" s="1152"/>
      <c r="K19" s="1152"/>
      <c r="L19" s="1152"/>
      <c r="M19" s="1152"/>
      <c r="N19" s="630"/>
      <c r="O19" s="629"/>
      <c r="P19" s="629"/>
      <c r="Q19" s="629"/>
      <c r="R19" s="630"/>
      <c r="S19" s="629"/>
      <c r="T19" s="629"/>
      <c r="U19" s="629"/>
      <c r="V19" s="633"/>
      <c r="W19" s="634"/>
      <c r="X19" s="629"/>
      <c r="Y19" s="902"/>
      <c r="Z19" s="718"/>
      <c r="AA19" s="634"/>
      <c r="AB19" s="629"/>
      <c r="AC19" s="629"/>
      <c r="AD19" s="633"/>
      <c r="AE19" s="634"/>
      <c r="AF19" s="629"/>
      <c r="AG19" s="902"/>
      <c r="AH19" s="635"/>
      <c r="AJ19" s="610"/>
      <c r="AK19" s="610"/>
      <c r="AL19" s="610"/>
      <c r="AM19" s="610"/>
    </row>
    <row r="20" spans="1:39" s="636" customFormat="1" ht="15" customHeight="1">
      <c r="A20" s="626"/>
      <c r="B20" s="626"/>
      <c r="C20" s="626"/>
      <c r="D20" s="626"/>
      <c r="E20" s="626"/>
      <c r="F20" s="626"/>
      <c r="G20" s="972"/>
      <c r="H20" s="1134" t="s">
        <v>103</v>
      </c>
      <c r="I20" s="1134"/>
      <c r="J20" s="1134"/>
      <c r="K20" s="1134"/>
      <c r="L20" s="1134"/>
      <c r="M20" s="1134"/>
      <c r="N20" s="630">
        <f t="shared" ref="N20:S27" si="16">+SUMIF($H$49:$H$301,$H20,N$49:N$301)*SUMIF($H$49:$H$301,$H20,$G$49:$G$301)</f>
        <v>3618.6348386596169</v>
      </c>
      <c r="O20" s="629">
        <f t="shared" si="16"/>
        <v>3769.0113491768234</v>
      </c>
      <c r="P20" s="629">
        <f t="shared" si="16"/>
        <v>3832.8327534854802</v>
      </c>
      <c r="Q20" s="629">
        <f t="shared" si="16"/>
        <v>3162.3525161775106</v>
      </c>
      <c r="R20" s="630">
        <f t="shared" si="16"/>
        <v>4002.3090454045</v>
      </c>
      <c r="S20" s="629">
        <f t="shared" si="16"/>
        <v>3154.1037026719141</v>
      </c>
      <c r="T20" s="629"/>
      <c r="U20" s="629"/>
      <c r="V20" s="633"/>
      <c r="W20" s="634"/>
      <c r="X20" s="629">
        <f t="shared" ref="X20:X29" si="17">+SUMIF($N$4:$U$4,$B$1,$N20:$U20)-SUMIF($N$4:$U$4,$A$1,$N20:$U20)</f>
        <v>-614.90764650490928</v>
      </c>
      <c r="Y20" s="902">
        <f t="shared" ref="Y20:Y29" si="18">IF(OR(ABS(IF(X20&lt;0,-ABS(X20/SUMIF($N$4:$U$4,$A$1,$N20:$U20)),ABS(X20/SUMIF($N$4:$U$4,$A$1,$N20:$U20))))&lt;minvar,ABS(IF(X20&lt;0,-ABS(X20/SUMIF($N$4:$U$4,$A$1,$N20:$U20)),ABS(X20/SUMIF($N$4:$U$4,$A$1,$N20:$U20))))&gt;maxvar)=TRUE,"nm",IF(X20&lt;0,-ABS(X20/SUMIF($N$4:$U$4,$A$1,$N20:$U20)),ABS(X20/SUMIF($N$4:$U$4,$A$1,$N20:$U20))))</f>
        <v>-0.16314826078706532</v>
      </c>
      <c r="Z20" s="718"/>
      <c r="AA20" s="634"/>
      <c r="AB20" s="629">
        <f t="shared" ref="AB20:AB29" si="19">+SUMIF($N$48:$Q$48,"Yes",$N20:$Q20)</f>
        <v>7387.6461878364407</v>
      </c>
      <c r="AC20" s="629">
        <f t="shared" ref="AC20:AC29" si="20">+SUMIF($R$48:$U$48,"Yes",$R20:$U20)</f>
        <v>7156.4127480764146</v>
      </c>
      <c r="AD20" s="633"/>
      <c r="AE20" s="634"/>
      <c r="AF20" s="629">
        <f t="shared" ref="AF20:AF29" si="21">+$AC20-$AB20</f>
        <v>-231.23343976002616</v>
      </c>
      <c r="AG20" s="902">
        <f t="shared" ref="AG20:AG29" si="22">IF(OR(ABS(IF(AF20&lt;0,-ABS(AF20/$AB20),ABS(AF20/$AB20)))&lt;minvar,ABS(IF(AF20&lt;0,-ABS(AF20/$AB20),ABS(AF20/$AB20)))&gt;maxvar)=TRUE,"nm",IF(AF20&lt;0,-ABS(AF20/$AB20),ABS(AF20/$AB20)))</f>
        <v>-3.1300015442096533E-2</v>
      </c>
      <c r="AH20" s="635"/>
      <c r="AJ20" s="610"/>
      <c r="AK20" s="610"/>
      <c r="AL20" s="610"/>
      <c r="AM20" s="610"/>
    </row>
    <row r="21" spans="1:39" s="636" customFormat="1" ht="15" customHeight="1">
      <c r="A21" s="626"/>
      <c r="B21" s="626"/>
      <c r="C21" s="626"/>
      <c r="D21" s="626"/>
      <c r="E21" s="626"/>
      <c r="F21" s="626"/>
      <c r="G21" s="972"/>
      <c r="H21" s="1134" t="s">
        <v>750</v>
      </c>
      <c r="I21" s="1134"/>
      <c r="J21" s="1134"/>
      <c r="K21" s="1134"/>
      <c r="L21" s="1134"/>
      <c r="M21" s="1134"/>
      <c r="N21" s="630">
        <f t="shared" si="16"/>
        <v>128.27000000000001</v>
      </c>
      <c r="O21" s="629">
        <f t="shared" si="16"/>
        <v>-151.768</v>
      </c>
      <c r="P21" s="629">
        <f t="shared" si="16"/>
        <v>278.06400000000002</v>
      </c>
      <c r="Q21" s="629">
        <f t="shared" si="16"/>
        <v>82.263999999999996</v>
      </c>
      <c r="R21" s="630">
        <f t="shared" si="16"/>
        <v>186.702</v>
      </c>
      <c r="S21" s="629">
        <f t="shared" si="16"/>
        <v>-179.71100000000001</v>
      </c>
      <c r="T21" s="629"/>
      <c r="U21" s="629"/>
      <c r="V21" s="633"/>
      <c r="W21" s="634"/>
      <c r="X21" s="629">
        <f t="shared" si="17"/>
        <v>-27.943000000000012</v>
      </c>
      <c r="Y21" s="902">
        <f t="shared" si="18"/>
        <v>-0.18411654630752208</v>
      </c>
      <c r="Z21" s="718"/>
      <c r="AA21" s="634"/>
      <c r="AB21" s="629">
        <f t="shared" si="19"/>
        <v>-23.49799999999999</v>
      </c>
      <c r="AC21" s="629">
        <f t="shared" si="20"/>
        <v>6.9909999999999854</v>
      </c>
      <c r="AD21" s="633"/>
      <c r="AE21" s="634"/>
      <c r="AF21" s="629">
        <f t="shared" si="21"/>
        <v>30.488999999999976</v>
      </c>
      <c r="AG21" s="902">
        <f t="shared" ref="AG21" si="23">IF(OR(ABS(IF(AF21&lt;0,-ABS(AF21/$AB21),ABS(AF21/$AB21)))&lt;minvar,ABS(IF(AF21&lt;0,-ABS(AF21/$AB21),ABS(AF21/$AB21)))&gt;maxvar)=TRUE,"nm",IF(AF21&lt;0,-ABS(AF21/$AB21),ABS(AF21/$AB21)))</f>
        <v>1.2975146821006038</v>
      </c>
      <c r="AH21" s="635"/>
      <c r="AJ21" s="610"/>
      <c r="AK21" s="610"/>
      <c r="AL21" s="610"/>
      <c r="AM21" s="610"/>
    </row>
    <row r="22" spans="1:39" s="636" customFormat="1" ht="15" customHeight="1">
      <c r="A22" s="626"/>
      <c r="B22" s="626"/>
      <c r="C22" s="626"/>
      <c r="D22" s="626"/>
      <c r="E22" s="626"/>
      <c r="F22" s="626"/>
      <c r="G22" s="972"/>
      <c r="H22" s="1134" t="s">
        <v>104</v>
      </c>
      <c r="I22" s="1134"/>
      <c r="J22" s="1134"/>
      <c r="K22" s="1134"/>
      <c r="L22" s="1134"/>
      <c r="M22" s="1134"/>
      <c r="N22" s="630">
        <f t="shared" si="16"/>
        <v>291.233</v>
      </c>
      <c r="O22" s="629">
        <f t="shared" si="16"/>
        <v>288.32400000000001</v>
      </c>
      <c r="P22" s="629">
        <f t="shared" si="16"/>
        <v>267.47800000000001</v>
      </c>
      <c r="Q22" s="629">
        <f t="shared" si="16"/>
        <v>264.827</v>
      </c>
      <c r="R22" s="630">
        <f t="shared" si="16"/>
        <v>259.92899999999997</v>
      </c>
      <c r="S22" s="629">
        <f t="shared" si="16"/>
        <v>256.22000000000003</v>
      </c>
      <c r="T22" s="629"/>
      <c r="U22" s="629"/>
      <c r="V22" s="633"/>
      <c r="W22" s="634"/>
      <c r="X22" s="629">
        <f t="shared" si="17"/>
        <v>-32.103999999999985</v>
      </c>
      <c r="Y22" s="902">
        <f t="shared" si="18"/>
        <v>-0.11134695689571449</v>
      </c>
      <c r="Z22" s="718"/>
      <c r="AA22" s="634"/>
      <c r="AB22" s="629">
        <f t="shared" si="19"/>
        <v>579.55700000000002</v>
      </c>
      <c r="AC22" s="629">
        <f t="shared" si="20"/>
        <v>516.149</v>
      </c>
      <c r="AD22" s="633"/>
      <c r="AE22" s="634"/>
      <c r="AF22" s="629">
        <f t="shared" si="21"/>
        <v>-63.408000000000015</v>
      </c>
      <c r="AG22" s="902">
        <f t="shared" si="22"/>
        <v>-0.1094077027798819</v>
      </c>
      <c r="AH22" s="635"/>
      <c r="AJ22" s="610"/>
      <c r="AK22" s="610"/>
      <c r="AL22" s="610"/>
      <c r="AM22" s="610"/>
    </row>
    <row r="23" spans="1:39" s="636" customFormat="1" ht="15.75" customHeight="1">
      <c r="A23" s="626"/>
      <c r="B23" s="626"/>
      <c r="C23" s="626"/>
      <c r="D23" s="626"/>
      <c r="E23" s="626"/>
      <c r="F23" s="626"/>
      <c r="G23" s="972"/>
      <c r="H23" s="1134" t="s">
        <v>105</v>
      </c>
      <c r="I23" s="1134"/>
      <c r="J23" s="1134"/>
      <c r="K23" s="1134"/>
      <c r="L23" s="1134"/>
      <c r="M23" s="1134"/>
      <c r="N23" s="630">
        <f t="shared" si="16"/>
        <v>198.5386802839862</v>
      </c>
      <c r="O23" s="629">
        <f t="shared" si="16"/>
        <v>45.2678082590188</v>
      </c>
      <c r="P23" s="629">
        <f t="shared" si="16"/>
        <v>-740.55917622968082</v>
      </c>
      <c r="Q23" s="629">
        <f t="shared" si="16"/>
        <v>101.16993676175369</v>
      </c>
      <c r="R23" s="630">
        <f t="shared" si="16"/>
        <v>118.54897511304259</v>
      </c>
      <c r="S23" s="629">
        <f t="shared" si="16"/>
        <v>105.63800489528099</v>
      </c>
      <c r="T23" s="629"/>
      <c r="U23" s="629"/>
      <c r="V23" s="633"/>
      <c r="W23" s="634"/>
      <c r="X23" s="629">
        <f t="shared" si="17"/>
        <v>60.370196636262186</v>
      </c>
      <c r="Y23" s="902">
        <f t="shared" si="18"/>
        <v>1.3336231409930148</v>
      </c>
      <c r="Z23" s="718"/>
      <c r="AA23" s="634"/>
      <c r="AB23" s="629">
        <f t="shared" si="19"/>
        <v>243.806488543005</v>
      </c>
      <c r="AC23" s="629">
        <f t="shared" si="20"/>
        <v>224.18698000832359</v>
      </c>
      <c r="AD23" s="633"/>
      <c r="AE23" s="634"/>
      <c r="AF23" s="629">
        <f t="shared" si="21"/>
        <v>-19.619508534681415</v>
      </c>
      <c r="AG23" s="902">
        <f t="shared" si="22"/>
        <v>-8.0471642292738788E-2</v>
      </c>
      <c r="AH23" s="635"/>
      <c r="AJ23" s="610"/>
      <c r="AK23" s="610"/>
      <c r="AL23" s="610"/>
      <c r="AM23" s="610"/>
    </row>
    <row r="24" spans="1:39" s="636" customFormat="1" ht="14.4">
      <c r="A24" s="626"/>
      <c r="B24" s="626"/>
      <c r="C24" s="626"/>
      <c r="D24" s="626"/>
      <c r="E24" s="626"/>
      <c r="F24" s="626"/>
      <c r="G24" s="972"/>
      <c r="H24" s="1134" t="s">
        <v>106</v>
      </c>
      <c r="I24" s="1134"/>
      <c r="J24" s="1134"/>
      <c r="K24" s="1134"/>
      <c r="L24" s="1134"/>
      <c r="M24" s="1134"/>
      <c r="N24" s="630">
        <f t="shared" si="16"/>
        <v>1160.15581</v>
      </c>
      <c r="O24" s="629">
        <f t="shared" si="16"/>
        <v>1146.57854</v>
      </c>
      <c r="P24" s="629">
        <f t="shared" si="16"/>
        <v>1073.5557899999999</v>
      </c>
      <c r="Q24" s="629">
        <f t="shared" si="16"/>
        <v>1201.6926800000001</v>
      </c>
      <c r="R24" s="630">
        <f t="shared" si="16"/>
        <v>1189.3119999999999</v>
      </c>
      <c r="S24" s="629">
        <f t="shared" si="16"/>
        <v>1138.64276</v>
      </c>
      <c r="T24" s="629"/>
      <c r="U24" s="629"/>
      <c r="V24" s="633"/>
      <c r="W24" s="634"/>
      <c r="X24" s="629">
        <f t="shared" si="17"/>
        <v>-7.9357800000000225</v>
      </c>
      <c r="Y24" s="902">
        <f t="shared" si="18"/>
        <v>-6.9212703039078531E-3</v>
      </c>
      <c r="Z24" s="718"/>
      <c r="AA24" s="634"/>
      <c r="AB24" s="629">
        <f t="shared" si="19"/>
        <v>2306.7343499999997</v>
      </c>
      <c r="AC24" s="629">
        <f t="shared" si="20"/>
        <v>2327.9547599999996</v>
      </c>
      <c r="AD24" s="633"/>
      <c r="AE24" s="634"/>
      <c r="AF24" s="629">
        <f t="shared" si="21"/>
        <v>21.220409999999902</v>
      </c>
      <c r="AG24" s="902">
        <f t="shared" si="22"/>
        <v>9.199329779781492E-3</v>
      </c>
      <c r="AH24" s="635"/>
      <c r="AJ24" s="610"/>
      <c r="AK24" s="610"/>
      <c r="AL24" s="610"/>
      <c r="AM24" s="610"/>
    </row>
    <row r="25" spans="1:39" s="636" customFormat="1" ht="15" customHeight="1">
      <c r="A25" s="626"/>
      <c r="B25" s="626"/>
      <c r="C25" s="626"/>
      <c r="D25" s="626"/>
      <c r="E25" s="626"/>
      <c r="F25" s="626"/>
      <c r="G25" s="972"/>
      <c r="H25" s="1134" t="s">
        <v>299</v>
      </c>
      <c r="I25" s="1134"/>
      <c r="J25" s="1134"/>
      <c r="K25" s="1134"/>
      <c r="L25" s="1134"/>
      <c r="M25" s="1134"/>
      <c r="N25" s="630">
        <f t="shared" si="16"/>
        <v>4605.062338484252</v>
      </c>
      <c r="O25" s="629">
        <f t="shared" si="16"/>
        <v>5345.7609297087956</v>
      </c>
      <c r="P25" s="629">
        <f t="shared" si="16"/>
        <v>4483.9523753304311</v>
      </c>
      <c r="Q25" s="629">
        <f t="shared" si="16"/>
        <v>5015.0948302248753</v>
      </c>
      <c r="R25" s="630">
        <f t="shared" si="16"/>
        <v>4682.4690325908277</v>
      </c>
      <c r="S25" s="629">
        <f t="shared" si="16"/>
        <v>5430.7511267809004</v>
      </c>
      <c r="T25" s="629"/>
      <c r="U25" s="629"/>
      <c r="V25" s="633"/>
      <c r="W25" s="634"/>
      <c r="X25" s="629">
        <f t="shared" si="17"/>
        <v>84.99019707210482</v>
      </c>
      <c r="Y25" s="902">
        <f t="shared" si="18"/>
        <v>1.5898615405671456E-2</v>
      </c>
      <c r="Z25" s="718"/>
      <c r="AA25" s="634"/>
      <c r="AB25" s="629">
        <f t="shared" si="19"/>
        <v>9950.8232681930476</v>
      </c>
      <c r="AC25" s="629">
        <f t="shared" si="20"/>
        <v>10113.220159371729</v>
      </c>
      <c r="AD25" s="633"/>
      <c r="AE25" s="634"/>
      <c r="AF25" s="629">
        <f t="shared" si="21"/>
        <v>162.39689117868147</v>
      </c>
      <c r="AG25" s="902">
        <f t="shared" si="22"/>
        <v>1.6319945275057712E-2</v>
      </c>
      <c r="AH25" s="635"/>
      <c r="AJ25" s="610"/>
      <c r="AK25" s="610"/>
      <c r="AL25" s="610"/>
      <c r="AM25" s="610"/>
    </row>
    <row r="26" spans="1:39" s="636" customFormat="1" ht="15" customHeight="1">
      <c r="A26" s="626"/>
      <c r="B26" s="626"/>
      <c r="C26" s="626"/>
      <c r="D26" s="626"/>
      <c r="E26" s="626"/>
      <c r="F26" s="626"/>
      <c r="G26" s="972"/>
      <c r="H26" s="1134" t="s">
        <v>109</v>
      </c>
      <c r="I26" s="1134"/>
      <c r="J26" s="1134"/>
      <c r="K26" s="1134"/>
      <c r="L26" s="1134"/>
      <c r="M26" s="1134"/>
      <c r="N26" s="630">
        <f t="shared" si="16"/>
        <v>6004.2563882221975</v>
      </c>
      <c r="O26" s="629">
        <f t="shared" si="16"/>
        <v>6000.2477840515021</v>
      </c>
      <c r="P26" s="629">
        <f t="shared" si="16"/>
        <v>5985.0950601618097</v>
      </c>
      <c r="Q26" s="629">
        <f t="shared" si="16"/>
        <v>5968.3137143923896</v>
      </c>
      <c r="R26" s="630">
        <f t="shared" si="16"/>
        <v>5860.5572296830705</v>
      </c>
      <c r="S26" s="629">
        <f t="shared" si="16"/>
        <v>5832.6161948528934</v>
      </c>
      <c r="T26" s="629"/>
      <c r="U26" s="629"/>
      <c r="V26" s="633"/>
      <c r="W26" s="634"/>
      <c r="X26" s="629">
        <f t="shared" si="17"/>
        <v>-167.63158919860871</v>
      </c>
      <c r="Y26" s="902">
        <f t="shared" si="18"/>
        <v>-2.7937444457572066E-2</v>
      </c>
      <c r="Z26" s="718"/>
      <c r="AA26" s="634"/>
      <c r="AB26" s="629">
        <f t="shared" si="19"/>
        <v>12004.504172273701</v>
      </c>
      <c r="AC26" s="629">
        <f t="shared" si="20"/>
        <v>11693.173424535964</v>
      </c>
      <c r="AD26" s="633"/>
      <c r="AE26" s="634"/>
      <c r="AF26" s="629">
        <f t="shared" si="21"/>
        <v>-311.3307477377366</v>
      </c>
      <c r="AG26" s="902">
        <f t="shared" si="22"/>
        <v>-2.5934494525546848E-2</v>
      </c>
      <c r="AH26" s="635"/>
      <c r="AJ26" s="610"/>
      <c r="AK26" s="610"/>
      <c r="AL26" s="610"/>
      <c r="AM26" s="610"/>
    </row>
    <row r="27" spans="1:39" s="636" customFormat="1" ht="15" customHeight="1">
      <c r="A27" s="626"/>
      <c r="B27" s="626"/>
      <c r="C27" s="626"/>
      <c r="D27" s="626"/>
      <c r="E27" s="626"/>
      <c r="F27" s="626"/>
      <c r="G27" s="972"/>
      <c r="H27" s="1133" t="s">
        <v>110</v>
      </c>
      <c r="I27" s="1134"/>
      <c r="J27" s="1134"/>
      <c r="K27" s="1134"/>
      <c r="L27" s="1134"/>
      <c r="M27" s="1134"/>
      <c r="N27" s="630">
        <f t="shared" si="16"/>
        <v>46924.16822884314</v>
      </c>
      <c r="O27" s="629">
        <f t="shared" si="16"/>
        <v>36695.993863353557</v>
      </c>
      <c r="P27" s="629">
        <f t="shared" si="16"/>
        <v>37811.187778815758</v>
      </c>
      <c r="Q27" s="629">
        <f t="shared" si="16"/>
        <v>40833.606006407048</v>
      </c>
      <c r="R27" s="630">
        <f t="shared" si="16"/>
        <v>47455.199951739625</v>
      </c>
      <c r="S27" s="629">
        <f t="shared" si="16"/>
        <v>39679.966427298459</v>
      </c>
      <c r="T27" s="629"/>
      <c r="U27" s="629"/>
      <c r="V27" s="633"/>
      <c r="W27" s="634"/>
      <c r="X27" s="629">
        <f t="shared" si="17"/>
        <v>2983.9725639449025</v>
      </c>
      <c r="Y27" s="902">
        <f t="shared" si="18"/>
        <v>8.1316030710503404E-2</v>
      </c>
      <c r="Z27" s="718"/>
      <c r="AA27" s="634"/>
      <c r="AB27" s="629">
        <f t="shared" si="19"/>
        <v>83620.162092196697</v>
      </c>
      <c r="AC27" s="629">
        <f t="shared" si="20"/>
        <v>87135.166379038084</v>
      </c>
      <c r="AD27" s="633"/>
      <c r="AE27" s="634"/>
      <c r="AF27" s="629">
        <f t="shared" si="21"/>
        <v>3515.0042868413875</v>
      </c>
      <c r="AG27" s="902">
        <f t="shared" si="22"/>
        <v>4.2035368012870694E-2</v>
      </c>
      <c r="AH27" s="635"/>
      <c r="AJ27" s="610"/>
      <c r="AK27" s="610"/>
      <c r="AL27" s="610"/>
      <c r="AM27" s="610"/>
    </row>
    <row r="28" spans="1:39" s="636" customFormat="1" ht="15.75" customHeight="1">
      <c r="A28" s="626"/>
      <c r="B28" s="626"/>
      <c r="C28" s="626"/>
      <c r="D28" s="626"/>
      <c r="E28" s="626"/>
      <c r="F28" s="626"/>
      <c r="G28" s="972"/>
      <c r="H28" s="1155" t="s">
        <v>198</v>
      </c>
      <c r="I28" s="1155"/>
      <c r="J28" s="1155"/>
      <c r="K28" s="1155"/>
      <c r="L28" s="1155"/>
      <c r="M28" s="1155"/>
      <c r="N28" s="677">
        <f t="shared" ref="N28:Q28" si="24">+SUM(N20:N27)</f>
        <v>62930.319284493191</v>
      </c>
      <c r="O28" s="676">
        <f t="shared" si="24"/>
        <v>53139.416274549701</v>
      </c>
      <c r="P28" s="676">
        <f t="shared" si="24"/>
        <v>52991.606581563799</v>
      </c>
      <c r="Q28" s="676">
        <f t="shared" si="24"/>
        <v>56629.320683963582</v>
      </c>
      <c r="R28" s="677">
        <f t="shared" ref="R28" si="25">+SUM(R20:R27)</f>
        <v>63755.027234531066</v>
      </c>
      <c r="S28" s="676">
        <f t="shared" ref="S28" si="26">+SUM(S20:S27)</f>
        <v>55418.22721649945</v>
      </c>
      <c r="T28" s="676"/>
      <c r="U28" s="676"/>
      <c r="V28" s="633"/>
      <c r="W28" s="634"/>
      <c r="X28" s="676">
        <f t="shared" si="17"/>
        <v>2278.8109419497487</v>
      </c>
      <c r="Y28" s="927">
        <f t="shared" si="18"/>
        <v>4.2883627666816311E-2</v>
      </c>
      <c r="Z28" s="718"/>
      <c r="AA28" s="634"/>
      <c r="AB28" s="676">
        <f t="shared" si="19"/>
        <v>116069.73555904289</v>
      </c>
      <c r="AC28" s="676">
        <f t="shared" si="20"/>
        <v>119173.25445103052</v>
      </c>
      <c r="AD28" s="633"/>
      <c r="AE28" s="634"/>
      <c r="AF28" s="676">
        <f t="shared" si="21"/>
        <v>3103.5188919876236</v>
      </c>
      <c r="AG28" s="927">
        <f t="shared" si="22"/>
        <v>2.673839892061192E-2</v>
      </c>
      <c r="AH28" s="635"/>
      <c r="AJ28" s="610"/>
      <c r="AK28" s="610"/>
      <c r="AL28" s="610"/>
      <c r="AM28" s="610"/>
    </row>
    <row r="29" spans="1:39" s="610" customFormat="1" ht="15" thickBot="1">
      <c r="A29" s="600"/>
      <c r="B29" s="600"/>
      <c r="C29" s="600"/>
      <c r="D29" s="600"/>
      <c r="E29" s="600"/>
      <c r="F29" s="600"/>
      <c r="G29" s="972"/>
      <c r="H29" s="1155" t="s">
        <v>164</v>
      </c>
      <c r="I29" s="1155"/>
      <c r="J29" s="1155"/>
      <c r="K29" s="1155"/>
      <c r="L29" s="1155"/>
      <c r="M29" s="1155"/>
      <c r="N29" s="670">
        <f t="shared" ref="N29:Q29" si="27">+N17-N28</f>
        <v>-8028.0547144653901</v>
      </c>
      <c r="O29" s="669">
        <f t="shared" si="27"/>
        <v>2747.821746037378</v>
      </c>
      <c r="P29" s="669">
        <f t="shared" si="27"/>
        <v>3797.7442846701233</v>
      </c>
      <c r="Q29" s="669">
        <f t="shared" si="27"/>
        <v>-288.33208897345321</v>
      </c>
      <c r="R29" s="670">
        <f t="shared" ref="R29" si="28">+R17-R28</f>
        <v>-6736.0619949549218</v>
      </c>
      <c r="S29" s="669">
        <f t="shared" ref="S29" si="29">+S17-S28</f>
        <v>3832.2010579337802</v>
      </c>
      <c r="T29" s="669"/>
      <c r="U29" s="669"/>
      <c r="V29" s="604"/>
      <c r="W29" s="605"/>
      <c r="X29" s="669">
        <f t="shared" si="17"/>
        <v>1084.3793118964022</v>
      </c>
      <c r="Y29" s="905">
        <f t="shared" si="18"/>
        <v>0.39463233503417061</v>
      </c>
      <c r="Z29" s="708"/>
      <c r="AA29" s="605"/>
      <c r="AB29" s="669">
        <f t="shared" si="19"/>
        <v>-5280.2329684280121</v>
      </c>
      <c r="AC29" s="669">
        <f t="shared" si="20"/>
        <v>-2903.8609370211416</v>
      </c>
      <c r="AD29" s="604"/>
      <c r="AE29" s="605"/>
      <c r="AF29" s="669">
        <f t="shared" si="21"/>
        <v>2376.3720314068705</v>
      </c>
      <c r="AG29" s="905">
        <f t="shared" si="22"/>
        <v>0.4500506029972281</v>
      </c>
      <c r="AH29" s="609"/>
    </row>
    <row r="30" spans="1:39" ht="15" thickTop="1">
      <c r="AH30"/>
    </row>
    <row r="31" spans="1:39" ht="14.4">
      <c r="AH31"/>
    </row>
    <row r="32" spans="1:39" ht="14.4">
      <c r="G32" s="969"/>
      <c r="H32" s="160"/>
      <c r="I32" s="160"/>
      <c r="J32" s="160"/>
      <c r="K32" s="160"/>
      <c r="L32" s="160"/>
      <c r="M32" s="160"/>
      <c r="N32" s="160"/>
      <c r="O32" s="160"/>
      <c r="P32" s="160"/>
      <c r="Q32" s="160"/>
      <c r="R32" s="160"/>
      <c r="S32" s="417"/>
      <c r="T32" s="417"/>
      <c r="U32" s="417"/>
      <c r="V32" s="160"/>
      <c r="W32" s="160"/>
      <c r="X32" s="160"/>
      <c r="Y32" s="680"/>
      <c r="Z32" s="160"/>
      <c r="AA32" s="160"/>
      <c r="AB32" s="160"/>
      <c r="AC32" s="160"/>
      <c r="AD32" s="160"/>
      <c r="AE32" s="160"/>
      <c r="AF32" s="160"/>
      <c r="AG32" s="680"/>
      <c r="AH32"/>
    </row>
    <row r="33" spans="8:76" ht="14.4">
      <c r="AH33"/>
    </row>
    <row r="38" spans="8:76">
      <c r="H38" s="1172" t="s">
        <v>166</v>
      </c>
      <c r="I38" s="1172"/>
      <c r="J38" s="1172"/>
      <c r="K38" s="1172"/>
      <c r="L38" s="1172"/>
      <c r="M38" s="1172"/>
      <c r="N38" s="1173"/>
      <c r="O38" s="1173"/>
      <c r="P38" s="1173"/>
      <c r="Q38" s="1173"/>
      <c r="R38" s="1173"/>
      <c r="S38" s="1173"/>
      <c r="T38" s="1173"/>
      <c r="U38" s="1173"/>
    </row>
    <row r="39" spans="8:76" ht="15" customHeight="1"/>
    <row r="40" spans="8:76">
      <c r="H40" s="146" t="s">
        <v>113</v>
      </c>
      <c r="N40" s="268">
        <f t="shared" ref="N40:U40" si="30">-N52-N86</f>
        <v>-6740.9065244653902</v>
      </c>
      <c r="O40" s="254">
        <f t="shared" si="30"/>
        <v>63.725064043806924</v>
      </c>
      <c r="P40" s="254">
        <f t="shared" si="30"/>
        <v>4770.9079346701183</v>
      </c>
      <c r="Q40" s="254">
        <f t="shared" si="30"/>
        <v>-113.38979964221653</v>
      </c>
      <c r="R40" s="268">
        <f t="shared" si="30"/>
        <v>-6340.3037249549307</v>
      </c>
      <c r="S40" s="432">
        <f t="shared" si="30"/>
        <v>5522.9679317809278</v>
      </c>
      <c r="T40" s="432">
        <f t="shared" si="30"/>
        <v>177501.43167473184</v>
      </c>
      <c r="U40" s="432">
        <f t="shared" si="30"/>
        <v>0</v>
      </c>
    </row>
    <row r="41" spans="8:76">
      <c r="H41" s="146" t="s">
        <v>307</v>
      </c>
      <c r="N41" s="268">
        <f t="shared" ref="N41:Q41" si="31">-N81</f>
        <v>756.85824000000002</v>
      </c>
      <c r="O41" s="254">
        <f t="shared" si="31"/>
        <v>-2865.960541993572</v>
      </c>
      <c r="P41" s="254">
        <f t="shared" si="31"/>
        <v>652.12741000000005</v>
      </c>
      <c r="Q41" s="254">
        <f t="shared" si="31"/>
        <v>640.90015933123004</v>
      </c>
      <c r="R41" s="268">
        <f t="shared" ref="R41:U41" si="32">-R81</f>
        <v>395.75826999999998</v>
      </c>
      <c r="S41" s="432">
        <f t="shared" si="32"/>
        <v>1690.7668738471536</v>
      </c>
      <c r="T41" s="432">
        <f t="shared" si="32"/>
        <v>0</v>
      </c>
      <c r="U41" s="432">
        <f t="shared" si="32"/>
        <v>0</v>
      </c>
    </row>
    <row r="42" spans="8:76">
      <c r="H42" s="146" t="s">
        <v>157</v>
      </c>
      <c r="N42" s="268">
        <f t="shared" ref="N42:Q42" si="33">+N66</f>
        <v>530.28994999999998</v>
      </c>
      <c r="O42" s="254">
        <f t="shared" si="33"/>
        <v>181.86385999999999</v>
      </c>
      <c r="P42" s="254">
        <f t="shared" si="33"/>
        <v>321.03624000000002</v>
      </c>
      <c r="Q42" s="254">
        <f t="shared" si="33"/>
        <v>-465.95787000000001</v>
      </c>
      <c r="R42" s="268">
        <f t="shared" ref="R42:U42" si="34">+R66</f>
        <v>0</v>
      </c>
      <c r="S42" s="432">
        <f t="shared" si="34"/>
        <v>0</v>
      </c>
      <c r="T42" s="432">
        <f t="shared" si="34"/>
        <v>0</v>
      </c>
      <c r="U42" s="432">
        <f t="shared" si="34"/>
        <v>0</v>
      </c>
    </row>
    <row r="43" spans="8:76">
      <c r="H43" s="146" t="s">
        <v>159</v>
      </c>
      <c r="N43" s="268">
        <f t="shared" ref="N43:Q43" si="35">-N118</f>
        <v>0</v>
      </c>
      <c r="O43" s="254">
        <f t="shared" si="35"/>
        <v>0</v>
      </c>
      <c r="P43" s="254">
        <f t="shared" si="35"/>
        <v>0</v>
      </c>
      <c r="Q43" s="254">
        <f t="shared" si="35"/>
        <v>0</v>
      </c>
      <c r="R43" s="268">
        <f t="shared" ref="R43:U43" si="36">-R118</f>
        <v>0</v>
      </c>
      <c r="S43" s="432">
        <f t="shared" si="36"/>
        <v>0</v>
      </c>
      <c r="T43" s="432">
        <f t="shared" si="36"/>
        <v>0</v>
      </c>
      <c r="U43" s="432">
        <f t="shared" si="36"/>
        <v>0</v>
      </c>
    </row>
    <row r="44" spans="8:76" ht="14.4" thickBot="1">
      <c r="H44" s="146" t="s">
        <v>164</v>
      </c>
      <c r="N44" s="270">
        <f t="shared" ref="N44:U44" si="37">+N40-SUM(N41:N43)</f>
        <v>-8028.0547144653901</v>
      </c>
      <c r="O44" s="269">
        <f t="shared" si="37"/>
        <v>2747.8217460373789</v>
      </c>
      <c r="P44" s="269">
        <f t="shared" si="37"/>
        <v>3797.7442846701183</v>
      </c>
      <c r="Q44" s="269">
        <f t="shared" si="37"/>
        <v>-288.33208897344656</v>
      </c>
      <c r="R44" s="270">
        <f t="shared" si="37"/>
        <v>-6736.0619949549309</v>
      </c>
      <c r="S44" s="433">
        <f t="shared" si="37"/>
        <v>3832.2010579337739</v>
      </c>
      <c r="T44" s="433">
        <f t="shared" si="37"/>
        <v>177501.43167473184</v>
      </c>
      <c r="U44" s="433">
        <f t="shared" si="37"/>
        <v>0</v>
      </c>
    </row>
    <row r="45" spans="8:76" ht="14.4" thickTop="1">
      <c r="M45" s="271" t="s">
        <v>308</v>
      </c>
      <c r="N45" s="253">
        <f t="shared" ref="N45:U45" si="38">+ROUND(N29-N44,2)</f>
        <v>0</v>
      </c>
      <c r="O45" s="253">
        <f t="shared" si="38"/>
        <v>0</v>
      </c>
      <c r="P45" s="253">
        <f t="shared" si="38"/>
        <v>0</v>
      </c>
      <c r="Q45" s="253">
        <f t="shared" si="38"/>
        <v>0</v>
      </c>
      <c r="R45" s="253">
        <f t="shared" si="38"/>
        <v>0</v>
      </c>
      <c r="S45" s="423">
        <f t="shared" si="38"/>
        <v>0</v>
      </c>
      <c r="T45" s="423">
        <f t="shared" si="38"/>
        <v>-177501.43</v>
      </c>
      <c r="U45" s="423">
        <f t="shared" si="38"/>
        <v>0</v>
      </c>
    </row>
    <row r="47" spans="8:76" ht="15" customHeight="1">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272"/>
      <c r="BR47" s="272"/>
      <c r="BS47" s="272"/>
      <c r="BT47" s="272"/>
      <c r="BU47" s="272"/>
      <c r="BV47" s="272"/>
      <c r="BW47" s="272"/>
      <c r="BX47" s="272"/>
    </row>
    <row r="48" spans="8:76" ht="15" customHeight="1">
      <c r="N48" s="252" t="str">
        <f t="shared" ref="N48:T48" si="39">+IF(RIGHT(LEFT(N$4,2),1)&lt;=RIGHT(LEFT($B$1,2),1),"Yes","")</f>
        <v>Yes</v>
      </c>
      <c r="O48" s="252" t="str">
        <f t="shared" si="39"/>
        <v>Yes</v>
      </c>
      <c r="P48" s="252" t="str">
        <f t="shared" si="39"/>
        <v/>
      </c>
      <c r="Q48" s="252" t="str">
        <f t="shared" si="39"/>
        <v/>
      </c>
      <c r="R48" s="273" t="str">
        <f t="shared" si="39"/>
        <v>Yes</v>
      </c>
      <c r="S48" s="346" t="str">
        <f t="shared" si="39"/>
        <v>Yes</v>
      </c>
      <c r="T48" s="346" t="str">
        <f t="shared" si="39"/>
        <v/>
      </c>
      <c r="U48" s="346" t="str">
        <f>+IF(RIGHT(LEFT(U$4,2),1)&lt;=RIGHT(LEFT($B$1,2),1),"Yes","")</f>
        <v/>
      </c>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272"/>
      <c r="BK48" s="272"/>
      <c r="BL48" s="272"/>
      <c r="BM48" s="272"/>
      <c r="BN48" s="272"/>
      <c r="BO48" s="272"/>
      <c r="BP48" s="272"/>
      <c r="BQ48" s="272"/>
      <c r="BR48" s="272"/>
      <c r="BS48" s="272"/>
      <c r="BT48" s="272"/>
      <c r="BU48" s="272"/>
      <c r="BV48" s="272"/>
      <c r="BW48" s="272"/>
      <c r="BX48" s="147"/>
    </row>
    <row r="49" spans="1:33" s="252" customFormat="1">
      <c r="A49" s="274"/>
      <c r="B49" s="274"/>
      <c r="C49" s="274"/>
      <c r="D49" s="274"/>
      <c r="E49" s="274"/>
      <c r="F49" s="274"/>
      <c r="G49" s="387"/>
      <c r="N49" s="276" t="s">
        <v>886</v>
      </c>
      <c r="O49" s="275" t="s">
        <v>887</v>
      </c>
      <c r="P49" s="275" t="s">
        <v>888</v>
      </c>
      <c r="Q49" s="275" t="s">
        <v>889</v>
      </c>
      <c r="R49" s="276" t="s">
        <v>903</v>
      </c>
      <c r="S49" s="427" t="s">
        <v>904</v>
      </c>
      <c r="T49" s="427" t="s">
        <v>905</v>
      </c>
      <c r="U49" s="427" t="s">
        <v>906</v>
      </c>
      <c r="Y49" s="641"/>
      <c r="AG49" s="641"/>
    </row>
    <row r="50" spans="1:33">
      <c r="G50" s="253"/>
      <c r="N50" s="278" t="str">
        <f t="shared" ref="N50:U50" si="40">+IF((N56+N88)&lt;&gt;0,"ERROR","")</f>
        <v/>
      </c>
      <c r="O50" s="277" t="str">
        <f t="shared" si="40"/>
        <v/>
      </c>
      <c r="P50" s="277" t="str">
        <f t="shared" si="40"/>
        <v/>
      </c>
      <c r="Q50" s="277" t="str">
        <f t="shared" si="40"/>
        <v/>
      </c>
      <c r="R50" s="278" t="str">
        <f t="shared" si="40"/>
        <v/>
      </c>
      <c r="S50" s="419" t="str">
        <f t="shared" si="40"/>
        <v/>
      </c>
      <c r="T50" s="419" t="str">
        <f t="shared" si="40"/>
        <v>ERROR</v>
      </c>
      <c r="U50" s="419" t="str">
        <f t="shared" si="40"/>
        <v/>
      </c>
    </row>
    <row r="51" spans="1:33">
      <c r="A51" s="279"/>
      <c r="B51" s="280"/>
      <c r="C51" s="280"/>
      <c r="D51" s="280"/>
      <c r="E51" s="280"/>
      <c r="F51" s="280"/>
      <c r="G51" s="281">
        <v>-1</v>
      </c>
      <c r="H51" s="893" t="str">
        <f>+H17</f>
        <v>Adjusted operating revenues</v>
      </c>
      <c r="I51" s="893"/>
      <c r="J51" s="893"/>
      <c r="K51" s="893"/>
      <c r="L51" s="893"/>
      <c r="M51" s="893"/>
      <c r="N51" s="282">
        <f t="shared" ref="N51:U51" si="41">+N17</f>
        <v>54902.264570027801</v>
      </c>
      <c r="O51" s="281">
        <f t="shared" si="41"/>
        <v>55887.23802058708</v>
      </c>
      <c r="P51" s="281">
        <f t="shared" si="41"/>
        <v>56789.350866233923</v>
      </c>
      <c r="Q51" s="281">
        <f t="shared" si="41"/>
        <v>56340.988594990129</v>
      </c>
      <c r="R51" s="282">
        <f t="shared" si="41"/>
        <v>57018.965239576144</v>
      </c>
      <c r="S51" s="420">
        <f t="shared" si="41"/>
        <v>59250.42827443323</v>
      </c>
      <c r="T51" s="420">
        <f t="shared" si="41"/>
        <v>0</v>
      </c>
      <c r="U51" s="420">
        <f t="shared" si="41"/>
        <v>0</v>
      </c>
    </row>
    <row r="52" spans="1:33">
      <c r="A52" s="283" t="s">
        <v>218</v>
      </c>
      <c r="B52" s="283" t="s">
        <v>50</v>
      </c>
      <c r="C52" s="283" t="s">
        <v>61</v>
      </c>
      <c r="D52" s="283" t="s">
        <v>116</v>
      </c>
      <c r="E52" s="283" t="s">
        <v>148</v>
      </c>
      <c r="F52" s="283"/>
      <c r="G52" s="284">
        <v>-1</v>
      </c>
      <c r="H52" s="894"/>
      <c r="I52" s="145" t="str">
        <f>+RIGHT(D52,LEN(D52)-5)</f>
        <v>Total Revenues</v>
      </c>
      <c r="J52" s="145"/>
      <c r="K52" s="145"/>
      <c r="L52" s="145"/>
      <c r="M52" s="145"/>
      <c r="N52" s="285">
        <v>-56189.412760027801</v>
      </c>
      <c r="O52" s="284">
        <v>-53203.141338593508</v>
      </c>
      <c r="P52" s="284">
        <v>-57762.514516233918</v>
      </c>
      <c r="Q52" s="284">
        <v>-56515.930884321358</v>
      </c>
      <c r="R52" s="285">
        <v>-57414.723509576135</v>
      </c>
      <c r="S52" s="421">
        <v>-60941.195148280378</v>
      </c>
      <c r="T52" s="421">
        <v>-3664.7130294381859</v>
      </c>
      <c r="U52" s="421">
        <v>0</v>
      </c>
    </row>
    <row r="53" spans="1:33">
      <c r="A53" s="283"/>
      <c r="B53" s="283"/>
      <c r="C53" s="283"/>
      <c r="D53" s="283"/>
      <c r="E53" s="283"/>
      <c r="F53" s="283"/>
      <c r="G53" s="286">
        <v>-1</v>
      </c>
      <c r="H53" s="897"/>
      <c r="I53" s="146" t="str">
        <f>+H81</f>
        <v>Investment Gains (Losses)</v>
      </c>
      <c r="N53" s="287">
        <f t="shared" ref="N53:U53" si="42">+N81*$G$53</f>
        <v>756.85824000000002</v>
      </c>
      <c r="O53" s="286">
        <f t="shared" si="42"/>
        <v>-2865.960541993572</v>
      </c>
      <c r="P53" s="286">
        <f t="shared" si="42"/>
        <v>652.12741000000005</v>
      </c>
      <c r="Q53" s="286">
        <f t="shared" si="42"/>
        <v>640.90015933123004</v>
      </c>
      <c r="R53" s="287">
        <f t="shared" si="42"/>
        <v>395.75826999999998</v>
      </c>
      <c r="S53" s="203">
        <f t="shared" si="42"/>
        <v>1690.7668738471536</v>
      </c>
      <c r="T53" s="203">
        <f t="shared" si="42"/>
        <v>0</v>
      </c>
      <c r="U53" s="203">
        <f t="shared" si="42"/>
        <v>0</v>
      </c>
    </row>
    <row r="54" spans="1:33">
      <c r="A54" s="283"/>
      <c r="B54" s="283"/>
      <c r="C54" s="283"/>
      <c r="D54" s="283"/>
      <c r="E54" s="283"/>
      <c r="F54" s="283"/>
      <c r="G54" s="286">
        <v>1</v>
      </c>
      <c r="H54" s="897"/>
      <c r="I54" s="146" t="str">
        <f>+I66</f>
        <v>NII Operating Adjustment</v>
      </c>
      <c r="N54" s="287">
        <f t="shared" ref="N54:U54" si="43">+N66*$G$54</f>
        <v>530.28994999999998</v>
      </c>
      <c r="O54" s="286">
        <f t="shared" si="43"/>
        <v>181.86385999999999</v>
      </c>
      <c r="P54" s="286">
        <f t="shared" si="43"/>
        <v>321.03624000000002</v>
      </c>
      <c r="Q54" s="286">
        <f t="shared" si="43"/>
        <v>-465.95787000000001</v>
      </c>
      <c r="R54" s="287">
        <f t="shared" si="43"/>
        <v>0</v>
      </c>
      <c r="S54" s="203">
        <f t="shared" si="43"/>
        <v>0</v>
      </c>
      <c r="T54" s="203">
        <f t="shared" si="43"/>
        <v>0</v>
      </c>
      <c r="U54" s="203">
        <f t="shared" si="43"/>
        <v>0</v>
      </c>
    </row>
    <row r="55" spans="1:33">
      <c r="A55" s="283"/>
      <c r="B55" s="283"/>
      <c r="C55" s="283"/>
      <c r="D55" s="283"/>
      <c r="E55" s="283"/>
      <c r="F55" s="283"/>
      <c r="G55" s="286">
        <v>-1</v>
      </c>
      <c r="H55" s="897"/>
      <c r="I55" s="146" t="str">
        <f>+H78</f>
        <v>Insurance Proceeds</v>
      </c>
      <c r="N55" s="287">
        <f t="shared" ref="N55:U55" si="44">+N78*$G$55</f>
        <v>0</v>
      </c>
      <c r="O55" s="286">
        <f t="shared" si="44"/>
        <v>0</v>
      </c>
      <c r="P55" s="286">
        <f t="shared" si="44"/>
        <v>0</v>
      </c>
      <c r="Q55" s="286">
        <f t="shared" si="44"/>
        <v>0</v>
      </c>
      <c r="R55" s="287">
        <f t="shared" si="44"/>
        <v>0</v>
      </c>
      <c r="S55" s="203">
        <f t="shared" si="44"/>
        <v>0</v>
      </c>
      <c r="T55" s="203">
        <f t="shared" si="44"/>
        <v>0</v>
      </c>
      <c r="U55" s="203">
        <f t="shared" si="44"/>
        <v>0</v>
      </c>
    </row>
    <row r="56" spans="1:33" ht="14.4" thickBot="1">
      <c r="G56" s="253"/>
      <c r="I56" s="895" t="s">
        <v>119</v>
      </c>
      <c r="J56" s="895"/>
      <c r="K56" s="895"/>
      <c r="L56" s="895"/>
      <c r="M56" s="895"/>
      <c r="N56" s="289">
        <f t="shared" ref="N56:U56" si="45">+ROUND(SUM(N51:N55),2)</f>
        <v>0</v>
      </c>
      <c r="O56" s="288">
        <f t="shared" si="45"/>
        <v>0</v>
      </c>
      <c r="P56" s="288">
        <f t="shared" si="45"/>
        <v>0</v>
      </c>
      <c r="Q56" s="288">
        <f t="shared" si="45"/>
        <v>0</v>
      </c>
      <c r="R56" s="289">
        <f t="shared" si="45"/>
        <v>0</v>
      </c>
      <c r="S56" s="422">
        <f t="shared" si="45"/>
        <v>0</v>
      </c>
      <c r="T56" s="422">
        <f t="shared" si="45"/>
        <v>-3664.71</v>
      </c>
      <c r="U56" s="422">
        <f t="shared" si="45"/>
        <v>0</v>
      </c>
    </row>
    <row r="57" spans="1:33" ht="14.4" thickTop="1">
      <c r="G57" s="253"/>
      <c r="N57" s="250"/>
      <c r="R57" s="250"/>
    </row>
    <row r="58" spans="1:33">
      <c r="A58" s="279"/>
      <c r="B58" s="280"/>
      <c r="C58" s="280"/>
      <c r="D58" s="280"/>
      <c r="E58" s="280"/>
      <c r="F58" s="280"/>
      <c r="G58" s="281">
        <v>-1</v>
      </c>
      <c r="H58" s="893" t="str">
        <f>+H7</f>
        <v>Direct premiums</v>
      </c>
      <c r="I58" s="893"/>
      <c r="J58" s="893"/>
      <c r="K58" s="893"/>
      <c r="L58" s="893"/>
      <c r="M58" s="893"/>
      <c r="N58" s="282">
        <f t="shared" ref="N58:U58" si="46">+SUM(N59:N60)</f>
        <v>-4414.1976984578823</v>
      </c>
      <c r="O58" s="281">
        <f t="shared" si="46"/>
        <v>-4335.3842781201984</v>
      </c>
      <c r="P58" s="281">
        <f t="shared" si="46"/>
        <v>-4604.0365300295862</v>
      </c>
      <c r="Q58" s="281">
        <f t="shared" si="46"/>
        <v>-3891.688996586372</v>
      </c>
      <c r="R58" s="282">
        <f t="shared" si="46"/>
        <v>-4043.556013960032</v>
      </c>
      <c r="S58" s="420">
        <f t="shared" si="46"/>
        <v>-4149.2475143903366</v>
      </c>
      <c r="T58" s="420">
        <f t="shared" si="46"/>
        <v>2786.4944297053971</v>
      </c>
      <c r="U58" s="420">
        <f t="shared" si="46"/>
        <v>0</v>
      </c>
    </row>
    <row r="59" spans="1:33">
      <c r="A59" s="283" t="s">
        <v>218</v>
      </c>
      <c r="B59" s="283" t="s">
        <v>50</v>
      </c>
      <c r="C59" s="283" t="s">
        <v>61</v>
      </c>
      <c r="D59" s="283" t="s">
        <v>115</v>
      </c>
      <c r="E59" s="283" t="s">
        <v>148</v>
      </c>
      <c r="F59" s="283"/>
      <c r="G59" s="284">
        <v>-1</v>
      </c>
      <c r="H59" s="894"/>
      <c r="I59" s="145" t="str">
        <f>+RIGHT(D59,LEN(D59)-5)</f>
        <v>Direct Premium</v>
      </c>
      <c r="J59" s="145"/>
      <c r="K59" s="145"/>
      <c r="L59" s="145"/>
      <c r="M59" s="145"/>
      <c r="N59" s="285">
        <v>-4414.1976984578823</v>
      </c>
      <c r="O59" s="284">
        <v>-4335.3842781201984</v>
      </c>
      <c r="P59" s="284">
        <v>-4604.0365300295862</v>
      </c>
      <c r="Q59" s="284">
        <v>-3891.688996586372</v>
      </c>
      <c r="R59" s="285">
        <v>-4043.556013960032</v>
      </c>
      <c r="S59" s="421">
        <v>-4149.2475143903366</v>
      </c>
      <c r="T59" s="421">
        <v>2786.4944297053971</v>
      </c>
      <c r="U59" s="421">
        <v>0</v>
      </c>
    </row>
    <row r="60" spans="1:33">
      <c r="G60" s="253"/>
      <c r="N60" s="250"/>
      <c r="R60" s="250"/>
    </row>
    <row r="61" spans="1:33">
      <c r="A61" s="279"/>
      <c r="B61" s="280"/>
      <c r="C61" s="280"/>
      <c r="D61" s="280"/>
      <c r="E61" s="280"/>
      <c r="F61" s="280"/>
      <c r="G61" s="281">
        <v>-1</v>
      </c>
      <c r="H61" s="893" t="str">
        <f>+H8</f>
        <v>Ceded premiums</v>
      </c>
      <c r="I61" s="893"/>
      <c r="J61" s="893"/>
      <c r="K61" s="893"/>
      <c r="L61" s="893"/>
      <c r="M61" s="893"/>
      <c r="N61" s="282">
        <f t="shared" ref="N61:U61" si="47">+SUM(N62:N63)</f>
        <v>1187.4017899999999</v>
      </c>
      <c r="O61" s="281">
        <f t="shared" si="47"/>
        <v>1102.1429700000001</v>
      </c>
      <c r="P61" s="281">
        <f t="shared" si="47"/>
        <v>1168.6756600000001</v>
      </c>
      <c r="Q61" s="281">
        <f t="shared" si="47"/>
        <v>1570.5292999999999</v>
      </c>
      <c r="R61" s="282">
        <f t="shared" si="47"/>
        <v>1015.55861</v>
      </c>
      <c r="S61" s="420">
        <f t="shared" si="47"/>
        <v>1038.7718</v>
      </c>
      <c r="T61" s="420">
        <f t="shared" si="47"/>
        <v>8.0166500000000003</v>
      </c>
      <c r="U61" s="420">
        <f t="shared" si="47"/>
        <v>0</v>
      </c>
    </row>
    <row r="62" spans="1:33">
      <c r="A62" s="283" t="s">
        <v>218</v>
      </c>
      <c r="B62" s="283" t="s">
        <v>50</v>
      </c>
      <c r="C62" s="283" t="s">
        <v>61</v>
      </c>
      <c r="D62" s="283" t="s">
        <v>120</v>
      </c>
      <c r="E62" s="283" t="s">
        <v>148</v>
      </c>
      <c r="F62" s="283"/>
      <c r="G62" s="284">
        <v>-1</v>
      </c>
      <c r="H62" s="894"/>
      <c r="I62" s="145" t="str">
        <f>+RIGHT(D62,LEN(D62)-5)</f>
        <v>Ceded Premium</v>
      </c>
      <c r="J62" s="145"/>
      <c r="K62" s="145"/>
      <c r="L62" s="145"/>
      <c r="M62" s="145"/>
      <c r="N62" s="285">
        <v>1187.4017899999999</v>
      </c>
      <c r="O62" s="284">
        <v>1102.1429700000001</v>
      </c>
      <c r="P62" s="284">
        <v>1168.6756600000001</v>
      </c>
      <c r="Q62" s="284">
        <v>1570.5292999999999</v>
      </c>
      <c r="R62" s="285">
        <v>1015.55861</v>
      </c>
      <c r="S62" s="421">
        <v>1038.7718</v>
      </c>
      <c r="T62" s="421">
        <v>8.0166500000000003</v>
      </c>
      <c r="U62" s="421">
        <v>0</v>
      </c>
    </row>
    <row r="63" spans="1:33">
      <c r="G63" s="253"/>
      <c r="N63" s="250"/>
      <c r="R63" s="250"/>
    </row>
    <row r="64" spans="1:33">
      <c r="A64" s="279"/>
      <c r="B64" s="280"/>
      <c r="C64" s="280"/>
      <c r="D64" s="280"/>
      <c r="E64" s="280"/>
      <c r="F64" s="280"/>
      <c r="G64" s="281">
        <v>-1</v>
      </c>
      <c r="H64" s="893" t="str">
        <f>+H10</f>
        <v>Adjusted net investment income</v>
      </c>
      <c r="I64" s="893"/>
      <c r="J64" s="893"/>
      <c r="K64" s="893"/>
      <c r="L64" s="893"/>
      <c r="M64" s="893"/>
      <c r="N64" s="282">
        <f t="shared" ref="N64:U64" si="48">+SUM(N65:N67)</f>
        <v>-41140.781703795561</v>
      </c>
      <c r="O64" s="281">
        <f t="shared" si="48"/>
        <v>-40746.224755971751</v>
      </c>
      <c r="P64" s="281">
        <f t="shared" si="48"/>
        <v>-42109.807420362587</v>
      </c>
      <c r="Q64" s="281">
        <f t="shared" si="48"/>
        <v>-42588.167120367209</v>
      </c>
      <c r="R64" s="282">
        <f t="shared" si="48"/>
        <v>-43283.190339651846</v>
      </c>
      <c r="S64" s="420">
        <f t="shared" si="48"/>
        <v>-43737.713256372801</v>
      </c>
      <c r="T64" s="420">
        <f t="shared" si="48"/>
        <v>-1794.7247999622821</v>
      </c>
      <c r="U64" s="420">
        <f t="shared" si="48"/>
        <v>0</v>
      </c>
    </row>
    <row r="65" spans="1:21">
      <c r="A65" s="283" t="s">
        <v>218</v>
      </c>
      <c r="B65" s="283" t="s">
        <v>50</v>
      </c>
      <c r="C65" s="283" t="s">
        <v>61</v>
      </c>
      <c r="D65" s="283" t="s">
        <v>121</v>
      </c>
      <c r="E65" s="283" t="s">
        <v>148</v>
      </c>
      <c r="F65" s="283"/>
      <c r="G65" s="284">
        <v>-1</v>
      </c>
      <c r="H65" s="894"/>
      <c r="I65" s="145" t="str">
        <f>+RIGHT(D65,LEN(D65)-5)</f>
        <v>Net Investment Income</v>
      </c>
      <c r="J65" s="145"/>
      <c r="K65" s="145"/>
      <c r="L65" s="145"/>
      <c r="M65" s="145"/>
      <c r="N65" s="285">
        <v>-41671.07165379556</v>
      </c>
      <c r="O65" s="284">
        <v>-40928.088615971748</v>
      </c>
      <c r="P65" s="284">
        <v>-42430.843660362589</v>
      </c>
      <c r="Q65" s="284">
        <v>-42122.20925036721</v>
      </c>
      <c r="R65" s="285">
        <v>-43283.190339651846</v>
      </c>
      <c r="S65" s="421">
        <v>-43737.713256372801</v>
      </c>
      <c r="T65" s="421">
        <v>-1794.7247999622821</v>
      </c>
      <c r="U65" s="421">
        <v>0</v>
      </c>
    </row>
    <row r="66" spans="1:21">
      <c r="A66" s="283"/>
      <c r="B66" s="283"/>
      <c r="C66" s="283"/>
      <c r="D66" s="283"/>
      <c r="E66" s="283"/>
      <c r="F66" s="283"/>
      <c r="G66" s="286">
        <v>-1</v>
      </c>
      <c r="H66" s="897"/>
      <c r="I66" s="146" t="str">
        <f>+IS!H144</f>
        <v>NII Operating Adjustment</v>
      </c>
      <c r="N66" s="287">
        <f>+IS!N145*$G$66</f>
        <v>530.28994999999998</v>
      </c>
      <c r="O66" s="286">
        <f>+IS!O145*$G$66</f>
        <v>181.86385999999999</v>
      </c>
      <c r="P66" s="286">
        <f>+IS!P145*$G$66</f>
        <v>321.03624000000002</v>
      </c>
      <c r="Q66" s="286">
        <f>+IS!Q145*$G$66</f>
        <v>-465.95787000000001</v>
      </c>
      <c r="R66" s="287">
        <f>+IS!R145*$G$66</f>
        <v>0</v>
      </c>
      <c r="S66" s="203">
        <f>+IS!S145*$G$66</f>
        <v>0</v>
      </c>
      <c r="T66" s="203">
        <f>+IS!T145*$G$66</f>
        <v>0</v>
      </c>
      <c r="U66" s="203">
        <f>+IS!U145*$G$66</f>
        <v>0</v>
      </c>
    </row>
    <row r="67" spans="1:21">
      <c r="G67" s="253"/>
      <c r="N67" s="250"/>
      <c r="R67" s="250"/>
    </row>
    <row r="68" spans="1:21">
      <c r="A68" s="290" t="s">
        <v>218</v>
      </c>
      <c r="B68" s="291" t="s">
        <v>50</v>
      </c>
      <c r="C68" s="291" t="s">
        <v>61</v>
      </c>
      <c r="D68" s="291" t="s">
        <v>125</v>
      </c>
      <c r="E68" s="291" t="s">
        <v>148</v>
      </c>
      <c r="F68" s="280"/>
      <c r="G68" s="292">
        <v>-1</v>
      </c>
      <c r="H68" s="280" t="str">
        <f>+RIGHT(D68,LEN(D68)-5)</f>
        <v>Other Distributive Revenue</v>
      </c>
      <c r="I68" s="280"/>
      <c r="J68" s="280"/>
      <c r="K68" s="280"/>
      <c r="L68" s="280"/>
      <c r="M68" s="280"/>
      <c r="N68" s="293">
        <v>-9477.4165986872849</v>
      </c>
      <c r="O68" s="292">
        <v>-10970.242599385203</v>
      </c>
      <c r="P68" s="292">
        <v>-10146.016188085216</v>
      </c>
      <c r="Q68" s="292">
        <v>-10326.106000811344</v>
      </c>
      <c r="R68" s="293">
        <v>-9401.1655825653579</v>
      </c>
      <c r="S68" s="434">
        <v>-11384.642924148931</v>
      </c>
      <c r="T68" s="434">
        <v>-1157.5361191813015</v>
      </c>
      <c r="U68" s="434">
        <v>0</v>
      </c>
    </row>
    <row r="69" spans="1:21">
      <c r="A69" s="283" t="s">
        <v>218</v>
      </c>
      <c r="B69" s="283" t="s">
        <v>50</v>
      </c>
      <c r="C69" s="283" t="s">
        <v>61</v>
      </c>
      <c r="D69" s="283" t="s">
        <v>125</v>
      </c>
      <c r="E69" s="283" t="s">
        <v>301</v>
      </c>
      <c r="F69" s="283"/>
      <c r="G69" s="284">
        <v>-1</v>
      </c>
      <c r="H69" s="145" t="str">
        <f>+H12</f>
        <v>Prepaid legal services</v>
      </c>
      <c r="I69" s="894"/>
      <c r="J69" s="145"/>
      <c r="K69" s="145"/>
      <c r="L69" s="145"/>
      <c r="M69" s="145"/>
      <c r="N69" s="285">
        <v>-3681.9366850460251</v>
      </c>
      <c r="O69" s="284">
        <v>-4008.6496494854832</v>
      </c>
      <c r="P69" s="284">
        <v>-2303.7089411503457</v>
      </c>
      <c r="Q69" s="284">
        <v>-3478.7041494376149</v>
      </c>
      <c r="R69" s="285">
        <v>-3325.895333831671</v>
      </c>
      <c r="S69" s="421">
        <v>-3934.6298931391689</v>
      </c>
      <c r="T69" s="421">
        <v>-591.74295787428503</v>
      </c>
      <c r="U69" s="421">
        <v>0</v>
      </c>
    </row>
    <row r="70" spans="1:21">
      <c r="A70" s="283" t="s">
        <v>218</v>
      </c>
      <c r="B70" s="283" t="s">
        <v>50</v>
      </c>
      <c r="C70" s="283" t="s">
        <v>61</v>
      </c>
      <c r="D70" s="283" t="s">
        <v>125</v>
      </c>
      <c r="E70" s="283" t="s">
        <v>300</v>
      </c>
      <c r="F70" s="283"/>
      <c r="G70" s="284">
        <v>-1</v>
      </c>
      <c r="H70" s="145" t="str">
        <f>+H13</f>
        <v>Auto and homeowners insurance</v>
      </c>
      <c r="I70" s="894"/>
      <c r="J70" s="145"/>
      <c r="K70" s="145"/>
      <c r="L70" s="145"/>
      <c r="M70" s="145"/>
      <c r="N70" s="285">
        <v>-1965.6590165235843</v>
      </c>
      <c r="O70" s="284">
        <v>-2439.8628853852565</v>
      </c>
      <c r="P70" s="284">
        <v>-2941.4981801724298</v>
      </c>
      <c r="Q70" s="284">
        <v>-2244.8686319789726</v>
      </c>
      <c r="R70" s="285">
        <v>-1987.8724194406452</v>
      </c>
      <c r="S70" s="421">
        <v>-2338.578364795891</v>
      </c>
      <c r="T70" s="421">
        <v>87.8923457621935</v>
      </c>
      <c r="U70" s="421">
        <v>0</v>
      </c>
    </row>
    <row r="71" spans="1:21">
      <c r="A71" s="283" t="s">
        <v>218</v>
      </c>
      <c r="B71" s="283" t="s">
        <v>50</v>
      </c>
      <c r="C71" s="283" t="s">
        <v>303</v>
      </c>
      <c r="D71" s="283" t="s">
        <v>125</v>
      </c>
      <c r="E71" s="283" t="s">
        <v>302</v>
      </c>
      <c r="F71" s="283"/>
      <c r="G71" s="284">
        <v>-1</v>
      </c>
      <c r="H71" s="145" t="str">
        <f>+H14</f>
        <v>Mortgage loans</v>
      </c>
      <c r="I71" s="894"/>
      <c r="J71" s="145"/>
      <c r="K71" s="145"/>
      <c r="L71" s="145"/>
      <c r="M71" s="145"/>
      <c r="N71" s="285">
        <v>-2128.6876400000001</v>
      </c>
      <c r="O71" s="284">
        <v>-3019.68831</v>
      </c>
      <c r="P71" s="284">
        <v>-3281.2966500000002</v>
      </c>
      <c r="Q71" s="284">
        <v>-2984.4125800000002</v>
      </c>
      <c r="R71" s="285">
        <v>-2552.8225699999998</v>
      </c>
      <c r="S71" s="421">
        <v>-3416.08115</v>
      </c>
      <c r="T71" s="421">
        <v>-340.58021000000002</v>
      </c>
      <c r="U71" s="421">
        <v>0</v>
      </c>
    </row>
    <row r="72" spans="1:21">
      <c r="A72" s="283"/>
      <c r="B72" s="283"/>
      <c r="C72" s="283"/>
      <c r="D72" s="283"/>
      <c r="E72" s="283"/>
      <c r="F72" s="283"/>
      <c r="G72" s="203">
        <v>-1</v>
      </c>
      <c r="H72" s="294" t="str">
        <f>+H15</f>
        <v>Other sales commissions</v>
      </c>
      <c r="I72" s="899"/>
      <c r="J72" s="294"/>
      <c r="K72" s="294"/>
      <c r="L72" s="294"/>
      <c r="M72" s="294"/>
      <c r="N72" s="295">
        <f t="shared" ref="N72:U72" si="49">+N68-SUM(N69:N71)</f>
        <v>-1701.1332571176754</v>
      </c>
      <c r="O72" s="203">
        <f t="shared" si="49"/>
        <v>-1502.0417545144628</v>
      </c>
      <c r="P72" s="203">
        <f t="shared" si="49"/>
        <v>-1619.5124167624399</v>
      </c>
      <c r="Q72" s="203">
        <f t="shared" si="49"/>
        <v>-1618.1206393947559</v>
      </c>
      <c r="R72" s="295">
        <f t="shared" si="49"/>
        <v>-1534.5752592930421</v>
      </c>
      <c r="S72" s="203">
        <f t="shared" si="49"/>
        <v>-1695.3535162138724</v>
      </c>
      <c r="T72" s="203">
        <f t="shared" si="49"/>
        <v>-313.10529706920988</v>
      </c>
      <c r="U72" s="203">
        <f t="shared" si="49"/>
        <v>0</v>
      </c>
    </row>
    <row r="73" spans="1:21">
      <c r="G73" s="253"/>
      <c r="N73" s="250"/>
      <c r="R73" s="250"/>
    </row>
    <row r="74" spans="1:21">
      <c r="A74" s="279"/>
      <c r="B74" s="280"/>
      <c r="C74" s="280"/>
      <c r="D74" s="280"/>
      <c r="E74" s="280"/>
      <c r="F74" s="280"/>
      <c r="G74" s="281">
        <v>-1</v>
      </c>
      <c r="H74" s="893" t="str">
        <f>+H16</f>
        <v>Other, net</v>
      </c>
      <c r="I74" s="893"/>
      <c r="J74" s="893"/>
      <c r="K74" s="893"/>
      <c r="L74" s="893"/>
      <c r="M74" s="893"/>
      <c r="N74" s="282">
        <f t="shared" ref="N74:U74" si="50">+SUM(N75:N77)</f>
        <v>-1057.2703590870738</v>
      </c>
      <c r="O74" s="281">
        <f t="shared" si="50"/>
        <v>-937.52935710993643</v>
      </c>
      <c r="P74" s="281">
        <f t="shared" si="50"/>
        <v>-1098.1663877565277</v>
      </c>
      <c r="Q74" s="281">
        <f t="shared" si="50"/>
        <v>-1105.5557772252087</v>
      </c>
      <c r="R74" s="282">
        <f t="shared" si="50"/>
        <v>-1306.6119133989046</v>
      </c>
      <c r="S74" s="420">
        <f t="shared" si="50"/>
        <v>-1017.5963795211615</v>
      </c>
      <c r="T74" s="420">
        <f t="shared" si="50"/>
        <v>-3506.9631899999999</v>
      </c>
      <c r="U74" s="420">
        <f t="shared" si="50"/>
        <v>0</v>
      </c>
    </row>
    <row r="75" spans="1:21">
      <c r="A75" s="283" t="s">
        <v>218</v>
      </c>
      <c r="B75" s="283" t="s">
        <v>50</v>
      </c>
      <c r="C75" s="283" t="s">
        <v>61</v>
      </c>
      <c r="D75" s="283" t="s">
        <v>127</v>
      </c>
      <c r="E75" s="283" t="s">
        <v>148</v>
      </c>
      <c r="F75" s="283"/>
      <c r="G75" s="284">
        <v>-1</v>
      </c>
      <c r="H75" s="894"/>
      <c r="I75" s="145" t="str">
        <f>+RIGHT(D75,LEN(D75)-5)</f>
        <v>Other Income</v>
      </c>
      <c r="J75" s="145"/>
      <c r="K75" s="145"/>
      <c r="L75" s="145"/>
      <c r="M75" s="145"/>
      <c r="N75" s="285">
        <v>-1057.2703590870738</v>
      </c>
      <c r="O75" s="284">
        <v>-937.52935710993643</v>
      </c>
      <c r="P75" s="284">
        <v>-1098.1663877565277</v>
      </c>
      <c r="Q75" s="284">
        <v>-1105.5557772252087</v>
      </c>
      <c r="R75" s="285">
        <v>-1306.6119133989046</v>
      </c>
      <c r="S75" s="421">
        <v>-1017.5963795211615</v>
      </c>
      <c r="T75" s="421">
        <v>-3506.9631899999999</v>
      </c>
      <c r="U75" s="421">
        <v>0</v>
      </c>
    </row>
    <row r="76" spans="1:21">
      <c r="A76" s="283" t="s">
        <v>218</v>
      </c>
      <c r="B76" s="283" t="s">
        <v>50</v>
      </c>
      <c r="C76" s="283" t="s">
        <v>61</v>
      </c>
      <c r="D76" s="283" t="s">
        <v>831</v>
      </c>
      <c r="E76" s="283" t="s">
        <v>148</v>
      </c>
      <c r="F76" s="283"/>
      <c r="G76" s="286">
        <v>-1</v>
      </c>
      <c r="H76" s="897"/>
      <c r="I76" s="146" t="str">
        <f>+H78</f>
        <v>Insurance Proceeds</v>
      </c>
      <c r="N76" s="287">
        <f t="shared" ref="N76:U76" si="51">+N79*$G$76</f>
        <v>0</v>
      </c>
      <c r="O76" s="286">
        <f t="shared" si="51"/>
        <v>0</v>
      </c>
      <c r="P76" s="286">
        <f t="shared" si="51"/>
        <v>0</v>
      </c>
      <c r="Q76" s="286">
        <f t="shared" si="51"/>
        <v>0</v>
      </c>
      <c r="R76" s="287">
        <f t="shared" si="51"/>
        <v>0</v>
      </c>
      <c r="S76" s="203">
        <f t="shared" si="51"/>
        <v>0</v>
      </c>
      <c r="T76" s="203">
        <f t="shared" si="51"/>
        <v>0</v>
      </c>
      <c r="U76" s="203">
        <f t="shared" si="51"/>
        <v>0</v>
      </c>
    </row>
    <row r="77" spans="1:21">
      <c r="G77" s="253"/>
      <c r="N77" s="250"/>
      <c r="R77" s="250"/>
    </row>
    <row r="78" spans="1:21">
      <c r="A78" s="279"/>
      <c r="B78" s="280"/>
      <c r="C78" s="280"/>
      <c r="D78" s="280"/>
      <c r="E78" s="280"/>
      <c r="F78" s="280"/>
      <c r="G78" s="281">
        <v>-1</v>
      </c>
      <c r="H78" s="893" t="s">
        <v>832</v>
      </c>
      <c r="I78" s="893"/>
      <c r="J78" s="893"/>
      <c r="K78" s="893"/>
      <c r="L78" s="893"/>
      <c r="M78" s="893"/>
      <c r="N78" s="282">
        <f t="shared" ref="N78:U78" si="52">+SUM(N79:N80)</f>
        <v>0</v>
      </c>
      <c r="O78" s="281">
        <f t="shared" si="52"/>
        <v>0</v>
      </c>
      <c r="P78" s="281">
        <f t="shared" si="52"/>
        <v>0</v>
      </c>
      <c r="Q78" s="281">
        <f t="shared" si="52"/>
        <v>0</v>
      </c>
      <c r="R78" s="282">
        <f t="shared" si="52"/>
        <v>0</v>
      </c>
      <c r="S78" s="420">
        <f t="shared" si="52"/>
        <v>0</v>
      </c>
      <c r="T78" s="420">
        <f t="shared" si="52"/>
        <v>0</v>
      </c>
      <c r="U78" s="420">
        <f t="shared" si="52"/>
        <v>0</v>
      </c>
    </row>
    <row r="79" spans="1:21">
      <c r="A79" s="283" t="s">
        <v>218</v>
      </c>
      <c r="B79" s="283" t="s">
        <v>50</v>
      </c>
      <c r="C79" s="283" t="s">
        <v>61</v>
      </c>
      <c r="D79" s="283" t="s">
        <v>831</v>
      </c>
      <c r="E79" s="283" t="s">
        <v>148</v>
      </c>
      <c r="F79" s="283"/>
      <c r="G79" s="284">
        <v>-1</v>
      </c>
      <c r="H79" s="894"/>
      <c r="I79" s="145" t="str">
        <f>+RIGHT(D79,LEN(D79)-7)</f>
        <v>Other Gain, Non-Operating Income</v>
      </c>
      <c r="J79" s="145"/>
      <c r="K79" s="145"/>
      <c r="L79" s="145"/>
      <c r="M79" s="145"/>
      <c r="N79" s="285">
        <v>0</v>
      </c>
      <c r="O79" s="284">
        <v>0</v>
      </c>
      <c r="P79" s="284">
        <v>0</v>
      </c>
      <c r="Q79" s="284">
        <v>0</v>
      </c>
      <c r="R79" s="285">
        <v>0</v>
      </c>
      <c r="S79" s="421">
        <v>0</v>
      </c>
      <c r="T79" s="421">
        <v>0</v>
      </c>
      <c r="U79" s="421">
        <v>0</v>
      </c>
    </row>
    <row r="80" spans="1:21">
      <c r="G80" s="253"/>
      <c r="N80" s="250"/>
      <c r="R80" s="250"/>
    </row>
    <row r="81" spans="1:21">
      <c r="A81" s="279"/>
      <c r="B81" s="280"/>
      <c r="C81" s="280"/>
      <c r="D81" s="280"/>
      <c r="E81" s="280"/>
      <c r="F81" s="280"/>
      <c r="G81" s="281">
        <v>1</v>
      </c>
      <c r="H81" s="893" t="str">
        <f>+I82</f>
        <v>Investment Gains (Losses)</v>
      </c>
      <c r="I81" s="893"/>
      <c r="J81" s="893"/>
      <c r="K81" s="893"/>
      <c r="L81" s="893"/>
      <c r="M81" s="893"/>
      <c r="N81" s="282">
        <f t="shared" ref="N81:U81" si="53">+SUM(N82:N83)</f>
        <v>-756.85824000000002</v>
      </c>
      <c r="O81" s="281">
        <f t="shared" si="53"/>
        <v>2865.960541993572</v>
      </c>
      <c r="P81" s="281">
        <f t="shared" si="53"/>
        <v>-652.12741000000005</v>
      </c>
      <c r="Q81" s="281">
        <f t="shared" si="53"/>
        <v>-640.90015933123004</v>
      </c>
      <c r="R81" s="282">
        <f t="shared" si="53"/>
        <v>-395.75826999999998</v>
      </c>
      <c r="S81" s="420">
        <f t="shared" si="53"/>
        <v>-1690.7668738471536</v>
      </c>
      <c r="T81" s="420">
        <f t="shared" si="53"/>
        <v>0</v>
      </c>
      <c r="U81" s="420">
        <f t="shared" si="53"/>
        <v>0</v>
      </c>
    </row>
    <row r="82" spans="1:21">
      <c r="A82" s="283" t="s">
        <v>218</v>
      </c>
      <c r="B82" s="283" t="s">
        <v>50</v>
      </c>
      <c r="C82" s="283" t="s">
        <v>61</v>
      </c>
      <c r="D82" s="283" t="s">
        <v>126</v>
      </c>
      <c r="E82" s="283" t="s">
        <v>148</v>
      </c>
      <c r="F82" s="283"/>
      <c r="G82" s="284">
        <v>1</v>
      </c>
      <c r="H82" s="894"/>
      <c r="I82" s="145" t="str">
        <f>+RIGHT(D82,LEN(D82)-5)</f>
        <v>Investment Gains (Losses)</v>
      </c>
      <c r="J82" s="145"/>
      <c r="K82" s="145"/>
      <c r="L82" s="145"/>
      <c r="M82" s="145"/>
      <c r="N82" s="285">
        <v>-756.85824000000002</v>
      </c>
      <c r="O82" s="284">
        <v>2865.960541993572</v>
      </c>
      <c r="P82" s="284">
        <v>-652.12741000000005</v>
      </c>
      <c r="Q82" s="284">
        <v>-640.90015933123004</v>
      </c>
      <c r="R82" s="285">
        <v>-395.75826999999998</v>
      </c>
      <c r="S82" s="421">
        <v>-1690.7668738471536</v>
      </c>
      <c r="T82" s="421">
        <v>0</v>
      </c>
      <c r="U82" s="421">
        <v>0</v>
      </c>
    </row>
    <row r="83" spans="1:21">
      <c r="G83" s="253"/>
      <c r="N83" s="250"/>
      <c r="R83" s="250"/>
    </row>
    <row r="84" spans="1:21">
      <c r="G84" s="253"/>
      <c r="N84" s="250"/>
      <c r="R84" s="250"/>
    </row>
    <row r="85" spans="1:21">
      <c r="A85" s="279"/>
      <c r="B85" s="280"/>
      <c r="C85" s="280"/>
      <c r="D85" s="280"/>
      <c r="E85" s="280"/>
      <c r="F85" s="280"/>
      <c r="G85" s="281">
        <v>1</v>
      </c>
      <c r="H85" s="893" t="str">
        <f>+H28</f>
        <v>Benefits and expenses</v>
      </c>
      <c r="I85" s="893"/>
      <c r="J85" s="893"/>
      <c r="K85" s="893"/>
      <c r="L85" s="893"/>
      <c r="M85" s="893"/>
      <c r="N85" s="282">
        <f t="shared" ref="N85:U85" si="54">+N28</f>
        <v>62930.319284493191</v>
      </c>
      <c r="O85" s="281">
        <f t="shared" si="54"/>
        <v>53139.416274549701</v>
      </c>
      <c r="P85" s="281">
        <f t="shared" si="54"/>
        <v>52991.606581563799</v>
      </c>
      <c r="Q85" s="281">
        <f t="shared" si="54"/>
        <v>56629.320683963582</v>
      </c>
      <c r="R85" s="282">
        <f t="shared" si="54"/>
        <v>63755.027234531066</v>
      </c>
      <c r="S85" s="420">
        <f t="shared" si="54"/>
        <v>55418.22721649945</v>
      </c>
      <c r="T85" s="420">
        <f t="shared" si="54"/>
        <v>0</v>
      </c>
      <c r="U85" s="420">
        <f t="shared" si="54"/>
        <v>0</v>
      </c>
    </row>
    <row r="86" spans="1:21">
      <c r="A86" s="283" t="s">
        <v>218</v>
      </c>
      <c r="B86" s="283" t="s">
        <v>50</v>
      </c>
      <c r="C86" s="283" t="s">
        <v>61</v>
      </c>
      <c r="D86" s="283" t="s">
        <v>130</v>
      </c>
      <c r="E86" s="283" t="s">
        <v>148</v>
      </c>
      <c r="F86" s="283"/>
      <c r="G86" s="284">
        <v>1</v>
      </c>
      <c r="H86" s="894"/>
      <c r="I86" s="145" t="str">
        <f>+RIGHT(D86,LEN(D86)-5)</f>
        <v>Benefits and Expenses</v>
      </c>
      <c r="J86" s="145"/>
      <c r="K86" s="145"/>
      <c r="L86" s="145"/>
      <c r="M86" s="145"/>
      <c r="N86" s="285">
        <v>62930.319284493191</v>
      </c>
      <c r="O86" s="284">
        <v>53139.416274549701</v>
      </c>
      <c r="P86" s="284">
        <v>52991.606581563799</v>
      </c>
      <c r="Q86" s="284">
        <v>56629.320683963575</v>
      </c>
      <c r="R86" s="285">
        <v>63755.027234531066</v>
      </c>
      <c r="S86" s="421">
        <v>55418.22721649945</v>
      </c>
      <c r="T86" s="421">
        <v>-173836.71864529364</v>
      </c>
      <c r="U86" s="421">
        <v>0</v>
      </c>
    </row>
    <row r="87" spans="1:21">
      <c r="A87" s="283"/>
      <c r="B87" s="283"/>
      <c r="C87" s="283"/>
      <c r="D87" s="283"/>
      <c r="E87" s="283"/>
      <c r="F87" s="283"/>
      <c r="G87" s="286">
        <v>-1</v>
      </c>
      <c r="H87" s="897"/>
      <c r="I87" s="146" t="str">
        <f>+H116</f>
        <v>Operating Adjustment - Expenses</v>
      </c>
      <c r="N87" s="287">
        <f t="shared" ref="N87:U87" si="55">+N116*$G$87</f>
        <v>0</v>
      </c>
      <c r="O87" s="286">
        <f t="shared" si="55"/>
        <v>0</v>
      </c>
      <c r="P87" s="286">
        <f t="shared" si="55"/>
        <v>0</v>
      </c>
      <c r="Q87" s="286">
        <f t="shared" si="55"/>
        <v>0</v>
      </c>
      <c r="R87" s="287">
        <f t="shared" si="55"/>
        <v>0</v>
      </c>
      <c r="S87" s="203">
        <f t="shared" si="55"/>
        <v>0</v>
      </c>
      <c r="T87" s="203">
        <f t="shared" si="55"/>
        <v>0</v>
      </c>
      <c r="U87" s="203">
        <f t="shared" si="55"/>
        <v>0</v>
      </c>
    </row>
    <row r="88" spans="1:21" ht="14.4" thickBot="1">
      <c r="G88" s="253"/>
      <c r="I88" s="895" t="s">
        <v>146</v>
      </c>
      <c r="J88" s="895"/>
      <c r="K88" s="895"/>
      <c r="L88" s="895"/>
      <c r="M88" s="895"/>
      <c r="N88" s="289">
        <f t="shared" ref="N88:U88" si="56">+N85-SUM(N86:N87)</f>
        <v>0</v>
      </c>
      <c r="O88" s="288">
        <f t="shared" si="56"/>
        <v>0</v>
      </c>
      <c r="P88" s="288">
        <f t="shared" si="56"/>
        <v>0</v>
      </c>
      <c r="Q88" s="288">
        <f t="shared" si="56"/>
        <v>0</v>
      </c>
      <c r="R88" s="289">
        <f t="shared" si="56"/>
        <v>0</v>
      </c>
      <c r="S88" s="422">
        <f t="shared" si="56"/>
        <v>0</v>
      </c>
      <c r="T88" s="422">
        <f t="shared" si="56"/>
        <v>173836.71864529364</v>
      </c>
      <c r="U88" s="422">
        <f t="shared" si="56"/>
        <v>0</v>
      </c>
    </row>
    <row r="89" spans="1:21" ht="14.4" thickTop="1">
      <c r="G89" s="253"/>
      <c r="N89" s="250"/>
      <c r="R89" s="250"/>
    </row>
    <row r="90" spans="1:21">
      <c r="A90" s="279"/>
      <c r="B90" s="280"/>
      <c r="C90" s="280"/>
      <c r="D90" s="280"/>
      <c r="E90" s="280"/>
      <c r="F90" s="280"/>
      <c r="G90" s="281">
        <v>1</v>
      </c>
      <c r="H90" s="893" t="str">
        <f>+H20</f>
        <v>Benefits and claims</v>
      </c>
      <c r="I90" s="893"/>
      <c r="J90" s="893"/>
      <c r="K90" s="893"/>
      <c r="L90" s="893"/>
      <c r="M90" s="893"/>
      <c r="N90" s="282">
        <f t="shared" ref="N90:U90" si="57">+SUM(N91:N92)</f>
        <v>3618.6348386596169</v>
      </c>
      <c r="O90" s="281">
        <f t="shared" si="57"/>
        <v>3769.0113491768234</v>
      </c>
      <c r="P90" s="281">
        <f t="shared" si="57"/>
        <v>3832.8327534854802</v>
      </c>
      <c r="Q90" s="281">
        <f t="shared" si="57"/>
        <v>3162.3525161775106</v>
      </c>
      <c r="R90" s="282">
        <f t="shared" si="57"/>
        <v>4002.3090454045</v>
      </c>
      <c r="S90" s="420">
        <f t="shared" si="57"/>
        <v>3154.1037026719141</v>
      </c>
      <c r="T90" s="420">
        <f t="shared" si="57"/>
        <v>-196719.63964211094</v>
      </c>
      <c r="U90" s="420">
        <f t="shared" si="57"/>
        <v>0</v>
      </c>
    </row>
    <row r="91" spans="1:21">
      <c r="A91" s="283" t="s">
        <v>218</v>
      </c>
      <c r="B91" s="283" t="s">
        <v>50</v>
      </c>
      <c r="C91" s="283" t="s">
        <v>61</v>
      </c>
      <c r="D91" s="283" t="s">
        <v>128</v>
      </c>
      <c r="E91" s="283" t="s">
        <v>148</v>
      </c>
      <c r="F91" s="283"/>
      <c r="G91" s="284">
        <v>1</v>
      </c>
      <c r="H91" s="894"/>
      <c r="I91" s="145" t="str">
        <f>+RIGHT(D91,LEN(D91)-5)</f>
        <v>Benefits and Claims</v>
      </c>
      <c r="J91" s="145"/>
      <c r="K91" s="145"/>
      <c r="L91" s="145"/>
      <c r="M91" s="145"/>
      <c r="N91" s="285">
        <v>3618.6348386596169</v>
      </c>
      <c r="O91" s="284">
        <v>3769.0113491768234</v>
      </c>
      <c r="P91" s="284">
        <v>3832.8327534854802</v>
      </c>
      <c r="Q91" s="284">
        <v>3162.3525161775106</v>
      </c>
      <c r="R91" s="285">
        <v>4002.3090454045</v>
      </c>
      <c r="S91" s="421">
        <v>3154.1037026719141</v>
      </c>
      <c r="T91" s="421">
        <v>-196719.63964211094</v>
      </c>
      <c r="U91" s="421">
        <v>0</v>
      </c>
    </row>
    <row r="92" spans="1:21">
      <c r="G92" s="253"/>
      <c r="N92" s="250"/>
      <c r="R92" s="250"/>
    </row>
    <row r="93" spans="1:21">
      <c r="A93" s="279"/>
      <c r="B93" s="280"/>
      <c r="C93" s="280"/>
      <c r="D93" s="280"/>
      <c r="E93" s="280"/>
      <c r="F93" s="280"/>
      <c r="G93" s="281">
        <v>1</v>
      </c>
      <c r="H93" s="893" t="str">
        <f>+H21</f>
        <v>Future policy benefits remeasurement (gain)/loss</v>
      </c>
      <c r="I93" s="893"/>
      <c r="J93" s="893"/>
      <c r="K93" s="893"/>
      <c r="L93" s="893"/>
      <c r="M93" s="893"/>
      <c r="N93" s="282">
        <f t="shared" ref="N93:U93" si="58">+SUM(N94:N95)</f>
        <v>128.27000000000001</v>
      </c>
      <c r="O93" s="281">
        <f t="shared" si="58"/>
        <v>-151.768</v>
      </c>
      <c r="P93" s="281">
        <f t="shared" si="58"/>
        <v>278.06400000000002</v>
      </c>
      <c r="Q93" s="281">
        <f t="shared" si="58"/>
        <v>82.263999999999996</v>
      </c>
      <c r="R93" s="282">
        <f t="shared" si="58"/>
        <v>186.702</v>
      </c>
      <c r="S93" s="420">
        <f t="shared" si="58"/>
        <v>-179.71100000000001</v>
      </c>
      <c r="T93" s="420">
        <f t="shared" si="58"/>
        <v>-6.9909999999999997</v>
      </c>
      <c r="U93" s="420">
        <f t="shared" si="58"/>
        <v>0</v>
      </c>
    </row>
    <row r="94" spans="1:21">
      <c r="A94" s="283" t="s">
        <v>218</v>
      </c>
      <c r="B94" s="283" t="s">
        <v>50</v>
      </c>
      <c r="C94" s="283" t="s">
        <v>61</v>
      </c>
      <c r="D94" s="283" t="s">
        <v>715</v>
      </c>
      <c r="E94" s="283" t="s">
        <v>148</v>
      </c>
      <c r="F94" s="283"/>
      <c r="G94" s="284">
        <v>1</v>
      </c>
      <c r="H94" s="894"/>
      <c r="I94" s="145" t="str">
        <f>+RIGHT(D94,LEN(D94)-5)</f>
        <v>Remeasurement Gain/Loss</v>
      </c>
      <c r="J94" s="145"/>
      <c r="K94" s="145"/>
      <c r="L94" s="145"/>
      <c r="M94" s="145"/>
      <c r="N94" s="285">
        <v>128.27000000000001</v>
      </c>
      <c r="O94" s="284">
        <v>-151.768</v>
      </c>
      <c r="P94" s="284">
        <v>278.06400000000002</v>
      </c>
      <c r="Q94" s="284">
        <v>82.263999999999996</v>
      </c>
      <c r="R94" s="285">
        <v>186.702</v>
      </c>
      <c r="S94" s="421">
        <v>-179.71100000000001</v>
      </c>
      <c r="T94" s="421">
        <v>-6.9909999999999997</v>
      </c>
      <c r="U94" s="421">
        <v>0</v>
      </c>
    </row>
    <row r="95" spans="1:21">
      <c r="G95" s="253"/>
      <c r="N95" s="250"/>
      <c r="R95" s="250"/>
    </row>
    <row r="96" spans="1:21">
      <c r="A96" s="279"/>
      <c r="B96" s="280"/>
      <c r="C96" s="280"/>
      <c r="D96" s="280"/>
      <c r="E96" s="280"/>
      <c r="F96" s="280"/>
      <c r="G96" s="281">
        <v>1</v>
      </c>
      <c r="H96" s="893" t="str">
        <f>+H22</f>
        <v>Amortization of DAC</v>
      </c>
      <c r="I96" s="893"/>
      <c r="J96" s="893"/>
      <c r="K96" s="893"/>
      <c r="L96" s="893"/>
      <c r="M96" s="893"/>
      <c r="N96" s="282">
        <f t="shared" ref="N96:U96" si="59">+SUM(N97:N98)</f>
        <v>291.233</v>
      </c>
      <c r="O96" s="281">
        <f t="shared" si="59"/>
        <v>288.32400000000001</v>
      </c>
      <c r="P96" s="281">
        <f t="shared" si="59"/>
        <v>267.47800000000001</v>
      </c>
      <c r="Q96" s="281">
        <f t="shared" si="59"/>
        <v>264.827</v>
      </c>
      <c r="R96" s="282">
        <f t="shared" si="59"/>
        <v>259.92899999999997</v>
      </c>
      <c r="S96" s="420">
        <f t="shared" si="59"/>
        <v>256.22000000000003</v>
      </c>
      <c r="T96" s="420">
        <f t="shared" si="59"/>
        <v>14900.683000000001</v>
      </c>
      <c r="U96" s="420">
        <f t="shared" si="59"/>
        <v>0</v>
      </c>
    </row>
    <row r="97" spans="1:21">
      <c r="A97" s="283" t="s">
        <v>218</v>
      </c>
      <c r="B97" s="283" t="s">
        <v>50</v>
      </c>
      <c r="C97" s="283" t="s">
        <v>61</v>
      </c>
      <c r="D97" s="283" t="s">
        <v>91</v>
      </c>
      <c r="E97" s="283" t="s">
        <v>148</v>
      </c>
      <c r="F97" s="283"/>
      <c r="G97" s="284">
        <v>1</v>
      </c>
      <c r="H97" s="894"/>
      <c r="I97" s="145" t="str">
        <f>+RIGHT(D97,LEN(D97)-5)</f>
        <v>Amortization of DAC</v>
      </c>
      <c r="J97" s="145"/>
      <c r="K97" s="145"/>
      <c r="L97" s="145"/>
      <c r="M97" s="145"/>
      <c r="N97" s="285">
        <v>291.233</v>
      </c>
      <c r="O97" s="284">
        <v>288.32400000000001</v>
      </c>
      <c r="P97" s="284">
        <v>267.47800000000001</v>
      </c>
      <c r="Q97" s="284">
        <v>264.827</v>
      </c>
      <c r="R97" s="285">
        <v>259.92899999999997</v>
      </c>
      <c r="S97" s="421">
        <v>256.22000000000003</v>
      </c>
      <c r="T97" s="421">
        <v>14900.683000000001</v>
      </c>
      <c r="U97" s="421">
        <v>0</v>
      </c>
    </row>
    <row r="98" spans="1:21">
      <c r="G98" s="253"/>
      <c r="N98" s="250"/>
      <c r="R98" s="250"/>
    </row>
    <row r="99" spans="1:21">
      <c r="A99" s="279"/>
      <c r="B99" s="280"/>
      <c r="C99" s="280"/>
      <c r="D99" s="280"/>
      <c r="E99" s="280"/>
      <c r="F99" s="280"/>
      <c r="G99" s="281">
        <v>1</v>
      </c>
      <c r="H99" s="893" t="str">
        <f>+H23</f>
        <v>Insurance commissions</v>
      </c>
      <c r="I99" s="893"/>
      <c r="J99" s="893"/>
      <c r="K99" s="893"/>
      <c r="L99" s="893"/>
      <c r="M99" s="893"/>
      <c r="N99" s="282">
        <f t="shared" ref="N99:U99" si="60">+SUM(N100:N101)</f>
        <v>198.5386802839862</v>
      </c>
      <c r="O99" s="281">
        <f t="shared" si="60"/>
        <v>45.2678082590188</v>
      </c>
      <c r="P99" s="281">
        <f t="shared" si="60"/>
        <v>-740.55917622968082</v>
      </c>
      <c r="Q99" s="281">
        <f t="shared" si="60"/>
        <v>101.16993676175369</v>
      </c>
      <c r="R99" s="282">
        <f t="shared" si="60"/>
        <v>118.54897511304259</v>
      </c>
      <c r="S99" s="420">
        <f t="shared" si="60"/>
        <v>105.63800489528099</v>
      </c>
      <c r="T99" s="420">
        <f t="shared" si="60"/>
        <v>17.434603764032499</v>
      </c>
      <c r="U99" s="420">
        <f t="shared" si="60"/>
        <v>0</v>
      </c>
    </row>
    <row r="100" spans="1:21">
      <c r="A100" s="283" t="s">
        <v>218</v>
      </c>
      <c r="B100" s="283" t="s">
        <v>50</v>
      </c>
      <c r="C100" s="283" t="s">
        <v>61</v>
      </c>
      <c r="D100" s="283" t="s">
        <v>132</v>
      </c>
      <c r="E100" s="283" t="s">
        <v>148</v>
      </c>
      <c r="F100" s="283"/>
      <c r="G100" s="284">
        <v>1</v>
      </c>
      <c r="H100" s="894"/>
      <c r="I100" s="145" t="str">
        <f>+RIGHT(D100,LEN(D100)-5)</f>
        <v>Insurance Commissions</v>
      </c>
      <c r="J100" s="145"/>
      <c r="K100" s="145"/>
      <c r="L100" s="145"/>
      <c r="M100" s="145"/>
      <c r="N100" s="285">
        <v>198.5386802839862</v>
      </c>
      <c r="O100" s="284">
        <v>45.2678082590188</v>
      </c>
      <c r="P100" s="284">
        <v>-740.55917622968082</v>
      </c>
      <c r="Q100" s="284">
        <v>101.16993676175369</v>
      </c>
      <c r="R100" s="285">
        <v>118.54897511304259</v>
      </c>
      <c r="S100" s="421">
        <v>105.63800489528099</v>
      </c>
      <c r="T100" s="421">
        <v>17.434603764032499</v>
      </c>
      <c r="U100" s="421">
        <v>0</v>
      </c>
    </row>
    <row r="101" spans="1:21">
      <c r="G101" s="253"/>
      <c r="N101" s="250"/>
      <c r="R101" s="250"/>
    </row>
    <row r="102" spans="1:21">
      <c r="A102" s="279"/>
      <c r="B102" s="280"/>
      <c r="C102" s="280"/>
      <c r="D102" s="280"/>
      <c r="E102" s="280"/>
      <c r="F102" s="280"/>
      <c r="G102" s="281">
        <v>1</v>
      </c>
      <c r="H102" s="893" t="str">
        <f>+H24</f>
        <v>Insurance expenses</v>
      </c>
      <c r="I102" s="893"/>
      <c r="J102" s="893"/>
      <c r="K102" s="893"/>
      <c r="L102" s="893"/>
      <c r="M102" s="893"/>
      <c r="N102" s="282">
        <f t="shared" ref="N102:U102" si="61">+SUM(N103:N104)</f>
        <v>1160.15581</v>
      </c>
      <c r="O102" s="281">
        <f t="shared" si="61"/>
        <v>1146.57854</v>
      </c>
      <c r="P102" s="281">
        <f t="shared" si="61"/>
        <v>1073.5557899999999</v>
      </c>
      <c r="Q102" s="281">
        <f t="shared" si="61"/>
        <v>1201.6926800000001</v>
      </c>
      <c r="R102" s="282">
        <f t="shared" si="61"/>
        <v>1189.3119999999999</v>
      </c>
      <c r="S102" s="420">
        <f t="shared" si="61"/>
        <v>1138.64276</v>
      </c>
      <c r="T102" s="420">
        <f t="shared" si="61"/>
        <v>0</v>
      </c>
      <c r="U102" s="420">
        <f t="shared" si="61"/>
        <v>0</v>
      </c>
    </row>
    <row r="103" spans="1:21">
      <c r="A103" s="283" t="s">
        <v>218</v>
      </c>
      <c r="B103" s="283" t="s">
        <v>50</v>
      </c>
      <c r="C103" s="283" t="s">
        <v>61</v>
      </c>
      <c r="D103" s="283" t="s">
        <v>131</v>
      </c>
      <c r="E103" s="283" t="s">
        <v>134</v>
      </c>
      <c r="F103" s="283"/>
      <c r="G103" s="284">
        <v>1</v>
      </c>
      <c r="H103" s="894"/>
      <c r="I103" s="145" t="str">
        <f>+RIGHT(D103,LEN(D103)-5)</f>
        <v>General Expenses Net of Allowances</v>
      </c>
      <c r="J103" s="145"/>
      <c r="K103" s="145"/>
      <c r="L103" s="145"/>
      <c r="M103" s="145"/>
      <c r="N103" s="285">
        <v>1160.15581</v>
      </c>
      <c r="O103" s="284">
        <v>1146.57854</v>
      </c>
      <c r="P103" s="284">
        <v>1073.5557899999999</v>
      </c>
      <c r="Q103" s="284">
        <v>1201.6926800000001</v>
      </c>
      <c r="R103" s="285">
        <v>1189.3119999999999</v>
      </c>
      <c r="S103" s="421">
        <v>1138.64276</v>
      </c>
      <c r="T103" s="421">
        <v>0</v>
      </c>
      <c r="U103" s="421">
        <v>0</v>
      </c>
    </row>
    <row r="104" spans="1:21">
      <c r="G104" s="253"/>
      <c r="N104" s="250"/>
      <c r="R104" s="250"/>
    </row>
    <row r="105" spans="1:21">
      <c r="A105" s="279"/>
      <c r="B105" s="280"/>
      <c r="C105" s="280"/>
      <c r="D105" s="280"/>
      <c r="E105" s="280"/>
      <c r="F105" s="280"/>
      <c r="G105" s="281">
        <v>1</v>
      </c>
      <c r="H105" s="893" t="str">
        <f>+H25</f>
        <v>Sales commissions</v>
      </c>
      <c r="I105" s="893"/>
      <c r="J105" s="893"/>
      <c r="K105" s="893"/>
      <c r="L105" s="893"/>
      <c r="M105" s="893"/>
      <c r="N105" s="282">
        <f t="shared" ref="N105:U105" si="62">+SUM(N106:N107)</f>
        <v>4605.062338484252</v>
      </c>
      <c r="O105" s="281">
        <f t="shared" si="62"/>
        <v>5345.7609297087956</v>
      </c>
      <c r="P105" s="281">
        <f t="shared" si="62"/>
        <v>4483.9523753304311</v>
      </c>
      <c r="Q105" s="281">
        <f t="shared" si="62"/>
        <v>5015.0948302248753</v>
      </c>
      <c r="R105" s="282">
        <f t="shared" si="62"/>
        <v>4682.4690325908277</v>
      </c>
      <c r="S105" s="420">
        <f t="shared" si="62"/>
        <v>5430.7511267809004</v>
      </c>
      <c r="T105" s="420">
        <f t="shared" si="62"/>
        <v>893.67936470185805</v>
      </c>
      <c r="U105" s="420">
        <f t="shared" si="62"/>
        <v>0</v>
      </c>
    </row>
    <row r="106" spans="1:21">
      <c r="A106" s="283" t="s">
        <v>218</v>
      </c>
      <c r="B106" s="283" t="s">
        <v>50</v>
      </c>
      <c r="C106" s="283" t="s">
        <v>61</v>
      </c>
      <c r="D106" s="283" t="s">
        <v>137</v>
      </c>
      <c r="E106" s="283" t="s">
        <v>148</v>
      </c>
      <c r="F106" s="283"/>
      <c r="G106" s="284">
        <v>1</v>
      </c>
      <c r="H106" s="894"/>
      <c r="I106" s="145" t="str">
        <f>+RIGHT(D106,LEN(D106)-5)</f>
        <v>Corporate &amp; Other Product Expense</v>
      </c>
      <c r="J106" s="145"/>
      <c r="K106" s="145"/>
      <c r="L106" s="145"/>
      <c r="M106" s="145"/>
      <c r="N106" s="285">
        <v>4605.062338484252</v>
      </c>
      <c r="O106" s="284">
        <v>5345.7609297087956</v>
      </c>
      <c r="P106" s="284">
        <v>4483.9523753304311</v>
      </c>
      <c r="Q106" s="284">
        <v>5015.0948302248753</v>
      </c>
      <c r="R106" s="285">
        <v>4682.4690325908277</v>
      </c>
      <c r="S106" s="421">
        <v>5430.7511267809004</v>
      </c>
      <c r="T106" s="421">
        <v>893.67936470185805</v>
      </c>
      <c r="U106" s="421">
        <v>0</v>
      </c>
    </row>
    <row r="107" spans="1:21">
      <c r="G107" s="253"/>
      <c r="N107" s="250"/>
      <c r="R107" s="250"/>
    </row>
    <row r="108" spans="1:21">
      <c r="A108" s="279"/>
      <c r="B108" s="280"/>
      <c r="C108" s="280"/>
      <c r="D108" s="280"/>
      <c r="E108" s="280"/>
      <c r="F108" s="280"/>
      <c r="G108" s="281">
        <v>1</v>
      </c>
      <c r="H108" s="893" t="str">
        <f>+H26</f>
        <v>Interest expense</v>
      </c>
      <c r="I108" s="893"/>
      <c r="J108" s="893"/>
      <c r="K108" s="893"/>
      <c r="L108" s="893"/>
      <c r="M108" s="893"/>
      <c r="N108" s="282">
        <f t="shared" ref="N108:U108" si="63">+SUM(N109:N110)</f>
        <v>6004.2563882221975</v>
      </c>
      <c r="O108" s="281">
        <f t="shared" si="63"/>
        <v>6000.2477840515021</v>
      </c>
      <c r="P108" s="281">
        <f t="shared" si="63"/>
        <v>5985.0950601618097</v>
      </c>
      <c r="Q108" s="281">
        <f t="shared" si="63"/>
        <v>5968.3137143923896</v>
      </c>
      <c r="R108" s="282">
        <f t="shared" si="63"/>
        <v>5860.5572296830705</v>
      </c>
      <c r="S108" s="420">
        <f t="shared" si="63"/>
        <v>5832.6161948528934</v>
      </c>
      <c r="T108" s="420">
        <f t="shared" si="63"/>
        <v>-0.55556000000000005</v>
      </c>
      <c r="U108" s="420">
        <f t="shared" si="63"/>
        <v>0</v>
      </c>
    </row>
    <row r="109" spans="1:21">
      <c r="A109" s="283" t="s">
        <v>218</v>
      </c>
      <c r="B109" s="283" t="s">
        <v>50</v>
      </c>
      <c r="C109" s="283" t="s">
        <v>61</v>
      </c>
      <c r="D109" s="283" t="s">
        <v>138</v>
      </c>
      <c r="E109" s="283" t="s">
        <v>148</v>
      </c>
      <c r="F109" s="283"/>
      <c r="G109" s="284">
        <v>1</v>
      </c>
      <c r="H109" s="894"/>
      <c r="I109" s="145" t="str">
        <f>+RIGHT(D109,LEN(D109)-5)</f>
        <v>Net Interest</v>
      </c>
      <c r="J109" s="145"/>
      <c r="K109" s="145"/>
      <c r="L109" s="145"/>
      <c r="M109" s="145"/>
      <c r="N109" s="285">
        <v>6004.2563882221975</v>
      </c>
      <c r="O109" s="284">
        <v>6000.2477840515021</v>
      </c>
      <c r="P109" s="284">
        <v>5985.0950601618097</v>
      </c>
      <c r="Q109" s="284">
        <v>5968.3137143923896</v>
      </c>
      <c r="R109" s="285">
        <v>5860.5572296830705</v>
      </c>
      <c r="S109" s="421">
        <v>5832.6161948528934</v>
      </c>
      <c r="T109" s="421">
        <v>-0.55556000000000005</v>
      </c>
      <c r="U109" s="421">
        <v>0</v>
      </c>
    </row>
    <row r="110" spans="1:21">
      <c r="G110" s="253"/>
      <c r="N110" s="250"/>
      <c r="R110" s="250"/>
    </row>
    <row r="111" spans="1:21">
      <c r="A111" s="279"/>
      <c r="B111" s="280"/>
      <c r="C111" s="280"/>
      <c r="D111" s="280"/>
      <c r="E111" s="280"/>
      <c r="F111" s="280"/>
      <c r="G111" s="281">
        <v>1</v>
      </c>
      <c r="H111" s="893" t="str">
        <f>+H27</f>
        <v>Other operating expenses</v>
      </c>
      <c r="I111" s="893"/>
      <c r="J111" s="893"/>
      <c r="K111" s="893"/>
      <c r="L111" s="893"/>
      <c r="M111" s="893"/>
      <c r="N111" s="282">
        <f t="shared" ref="N111:U111" si="64">+SUM(N112:N115)</f>
        <v>46924.16822884314</v>
      </c>
      <c r="O111" s="281">
        <f t="shared" si="64"/>
        <v>36695.993863353557</v>
      </c>
      <c r="P111" s="281">
        <f t="shared" si="64"/>
        <v>37811.187778815758</v>
      </c>
      <c r="Q111" s="281">
        <f t="shared" si="64"/>
        <v>40833.606006407048</v>
      </c>
      <c r="R111" s="282">
        <f t="shared" si="64"/>
        <v>47455.199951739625</v>
      </c>
      <c r="S111" s="420">
        <f t="shared" si="64"/>
        <v>39679.966427298459</v>
      </c>
      <c r="T111" s="420">
        <f t="shared" si="64"/>
        <v>7078.6705883513987</v>
      </c>
      <c r="U111" s="420">
        <f t="shared" si="64"/>
        <v>0</v>
      </c>
    </row>
    <row r="112" spans="1:21">
      <c r="A112" s="283" t="s">
        <v>218</v>
      </c>
      <c r="B112" s="283" t="s">
        <v>50</v>
      </c>
      <c r="C112" s="283" t="s">
        <v>61</v>
      </c>
      <c r="D112" s="283" t="s">
        <v>131</v>
      </c>
      <c r="E112" s="283" t="s">
        <v>148</v>
      </c>
      <c r="F112" s="283"/>
      <c r="G112" s="284">
        <v>1</v>
      </c>
      <c r="H112" s="894"/>
      <c r="I112" s="145" t="str">
        <f>+RIGHT(D112,LEN(D112)-5)</f>
        <v>General Expenses Net of Allowances</v>
      </c>
      <c r="J112" s="145"/>
      <c r="K112" s="145"/>
      <c r="L112" s="145"/>
      <c r="M112" s="145"/>
      <c r="N112" s="296">
        <v>48084.324038843137</v>
      </c>
      <c r="O112" s="284">
        <v>37842.572403353559</v>
      </c>
      <c r="P112" s="284">
        <v>38884.743568815757</v>
      </c>
      <c r="Q112" s="284">
        <v>42035.298686407048</v>
      </c>
      <c r="R112" s="296">
        <v>48644.511951739623</v>
      </c>
      <c r="S112" s="421">
        <v>40818.609187298462</v>
      </c>
      <c r="T112" s="421">
        <v>7078.6705883513987</v>
      </c>
      <c r="U112" s="421">
        <v>0</v>
      </c>
    </row>
    <row r="113" spans="1:33" s="253" customFormat="1">
      <c r="A113" s="284"/>
      <c r="B113" s="284"/>
      <c r="C113" s="284"/>
      <c r="D113" s="284"/>
      <c r="E113" s="284"/>
      <c r="F113" s="284"/>
      <c r="G113" s="253">
        <v>-1</v>
      </c>
      <c r="H113" s="892"/>
      <c r="I113" s="892" t="str">
        <f>+H102</f>
        <v>Insurance expenses</v>
      </c>
      <c r="J113" s="892"/>
      <c r="K113" s="892"/>
      <c r="L113" s="892"/>
      <c r="M113" s="892"/>
      <c r="N113" s="297">
        <f t="shared" ref="N113:U113" si="65">+N102*$G$113</f>
        <v>-1160.15581</v>
      </c>
      <c r="O113" s="253">
        <f t="shared" si="65"/>
        <v>-1146.57854</v>
      </c>
      <c r="P113" s="253">
        <f t="shared" si="65"/>
        <v>-1073.5557899999999</v>
      </c>
      <c r="Q113" s="253">
        <f t="shared" si="65"/>
        <v>-1201.6926800000001</v>
      </c>
      <c r="R113" s="297">
        <f t="shared" si="65"/>
        <v>-1189.3119999999999</v>
      </c>
      <c r="S113" s="423">
        <f t="shared" si="65"/>
        <v>-1138.64276</v>
      </c>
      <c r="T113" s="423">
        <f t="shared" si="65"/>
        <v>0</v>
      </c>
      <c r="U113" s="423">
        <f t="shared" si="65"/>
        <v>0</v>
      </c>
      <c r="Y113" s="777"/>
      <c r="AG113" s="777"/>
    </row>
    <row r="114" spans="1:33" s="253" customFormat="1">
      <c r="A114" s="284"/>
      <c r="B114" s="284"/>
      <c r="C114" s="284"/>
      <c r="D114" s="284"/>
      <c r="E114" s="284"/>
      <c r="F114" s="284"/>
      <c r="G114" s="253">
        <v>-1</v>
      </c>
      <c r="H114" s="892"/>
      <c r="I114" s="892" t="str">
        <f>+H116</f>
        <v>Operating Adjustment - Expenses</v>
      </c>
      <c r="J114" s="892"/>
      <c r="K114" s="892"/>
      <c r="L114" s="892"/>
      <c r="M114" s="892"/>
      <c r="N114" s="297">
        <f t="shared" ref="N114:U114" si="66">+N116*$G$114</f>
        <v>0</v>
      </c>
      <c r="O114" s="253">
        <f t="shared" si="66"/>
        <v>0</v>
      </c>
      <c r="P114" s="253">
        <f t="shared" si="66"/>
        <v>0</v>
      </c>
      <c r="Q114" s="253">
        <f t="shared" si="66"/>
        <v>0</v>
      </c>
      <c r="R114" s="297">
        <f t="shared" si="66"/>
        <v>0</v>
      </c>
      <c r="S114" s="423">
        <f t="shared" si="66"/>
        <v>0</v>
      </c>
      <c r="T114" s="423">
        <f t="shared" si="66"/>
        <v>0</v>
      </c>
      <c r="U114" s="423">
        <f t="shared" si="66"/>
        <v>0</v>
      </c>
      <c r="Y114" s="777"/>
      <c r="AG114" s="777"/>
    </row>
    <row r="115" spans="1:33" s="253" customFormat="1">
      <c r="A115" s="284"/>
      <c r="B115" s="284"/>
      <c r="C115" s="284"/>
      <c r="D115" s="284"/>
      <c r="E115" s="284"/>
      <c r="F115" s="284"/>
      <c r="H115" s="892"/>
      <c r="I115" s="892"/>
      <c r="J115" s="892"/>
      <c r="K115" s="892"/>
      <c r="L115" s="892"/>
      <c r="M115" s="892"/>
      <c r="N115" s="297"/>
      <c r="R115" s="297"/>
      <c r="S115" s="423"/>
      <c r="T115" s="423"/>
      <c r="U115" s="423"/>
      <c r="Y115" s="777"/>
      <c r="AG115" s="777"/>
    </row>
    <row r="116" spans="1:33">
      <c r="A116" s="279"/>
      <c r="B116" s="280"/>
      <c r="C116" s="280"/>
      <c r="D116" s="280"/>
      <c r="E116" s="280"/>
      <c r="F116" s="280"/>
      <c r="G116" s="281">
        <v>1</v>
      </c>
      <c r="H116" s="893" t="s">
        <v>305</v>
      </c>
      <c r="I116" s="893"/>
      <c r="J116" s="893"/>
      <c r="K116" s="893"/>
      <c r="L116" s="893"/>
      <c r="M116" s="893"/>
      <c r="N116" s="282">
        <f t="shared" ref="N116:U116" si="67">+SUM(N117:N119)</f>
        <v>0</v>
      </c>
      <c r="O116" s="281">
        <f t="shared" si="67"/>
        <v>0</v>
      </c>
      <c r="P116" s="281">
        <f t="shared" si="67"/>
        <v>0</v>
      </c>
      <c r="Q116" s="281">
        <f t="shared" si="67"/>
        <v>0</v>
      </c>
      <c r="R116" s="282">
        <f t="shared" si="67"/>
        <v>0</v>
      </c>
      <c r="S116" s="420">
        <f t="shared" si="67"/>
        <v>0</v>
      </c>
      <c r="T116" s="420">
        <f t="shared" si="67"/>
        <v>0</v>
      </c>
      <c r="U116" s="420">
        <f t="shared" si="67"/>
        <v>0</v>
      </c>
    </row>
    <row r="117" spans="1:33">
      <c r="A117" s="283" t="s">
        <v>218</v>
      </c>
      <c r="B117" s="283" t="s">
        <v>50</v>
      </c>
      <c r="C117" s="283" t="s">
        <v>61</v>
      </c>
      <c r="D117" s="283" t="s">
        <v>294</v>
      </c>
      <c r="E117" s="283" t="s">
        <v>148</v>
      </c>
      <c r="F117" s="283"/>
      <c r="G117" s="284">
        <v>1</v>
      </c>
      <c r="H117" s="894"/>
      <c r="I117" s="145" t="str">
        <f>+RIGHT(D117,LEN(D117)-7)</f>
        <v>Acquisition &amp; Integration Fees Operated Out</v>
      </c>
      <c r="J117" s="145"/>
      <c r="K117" s="145"/>
      <c r="L117" s="145"/>
      <c r="M117" s="145"/>
      <c r="N117" s="285">
        <v>0</v>
      </c>
      <c r="O117" s="284">
        <v>0</v>
      </c>
      <c r="P117" s="284">
        <v>0</v>
      </c>
      <c r="Q117" s="284">
        <v>0</v>
      </c>
      <c r="R117" s="285">
        <v>0</v>
      </c>
      <c r="S117" s="421">
        <v>0</v>
      </c>
      <c r="T117" s="421">
        <v>0</v>
      </c>
      <c r="U117" s="421">
        <v>0</v>
      </c>
    </row>
    <row r="118" spans="1:33">
      <c r="A118" s="283" t="s">
        <v>218</v>
      </c>
      <c r="B118" s="283" t="s">
        <v>50</v>
      </c>
      <c r="C118" s="283" t="s">
        <v>61</v>
      </c>
      <c r="D118" s="283" t="s">
        <v>304</v>
      </c>
      <c r="E118" s="283" t="s">
        <v>148</v>
      </c>
      <c r="F118" s="283" t="s">
        <v>306</v>
      </c>
      <c r="G118" s="284">
        <v>1</v>
      </c>
      <c r="H118" s="894"/>
      <c r="I118" s="145" t="str">
        <f>+F118</f>
        <v>ETQ RSA/NCI Comp Expense</v>
      </c>
      <c r="J118" s="145"/>
      <c r="K118" s="145"/>
      <c r="L118" s="145"/>
      <c r="M118" s="145"/>
      <c r="N118" s="285">
        <v>0</v>
      </c>
      <c r="O118" s="284">
        <v>0</v>
      </c>
      <c r="P118" s="284">
        <v>0</v>
      </c>
      <c r="Q118" s="284">
        <v>0</v>
      </c>
      <c r="R118" s="285">
        <v>0</v>
      </c>
      <c r="S118" s="421">
        <v>0</v>
      </c>
      <c r="T118" s="421">
        <v>0</v>
      </c>
      <c r="U118" s="421">
        <v>0</v>
      </c>
    </row>
    <row r="119" spans="1:33">
      <c r="G119" s="253"/>
    </row>
  </sheetData>
  <sheetProtection formatCells="0"/>
  <mergeCells count="30">
    <mergeCell ref="AC1:AG1"/>
    <mergeCell ref="H1:AB1"/>
    <mergeCell ref="H17:M17"/>
    <mergeCell ref="H20:M20"/>
    <mergeCell ref="H15:M15"/>
    <mergeCell ref="G19:M19"/>
    <mergeCell ref="H29:M29"/>
    <mergeCell ref="H22:M22"/>
    <mergeCell ref="H23:M23"/>
    <mergeCell ref="H26:M26"/>
    <mergeCell ref="H27:M27"/>
    <mergeCell ref="H28:M28"/>
    <mergeCell ref="H24:M24"/>
    <mergeCell ref="H25:M25"/>
    <mergeCell ref="H21:M21"/>
    <mergeCell ref="H38:U38"/>
    <mergeCell ref="H13:M13"/>
    <mergeCell ref="X3:Y3"/>
    <mergeCell ref="AF3:AG3"/>
    <mergeCell ref="G4:M4"/>
    <mergeCell ref="G5:M5"/>
    <mergeCell ref="H7:M7"/>
    <mergeCell ref="G6:M6"/>
    <mergeCell ref="H8:M8"/>
    <mergeCell ref="H9:M9"/>
    <mergeCell ref="H10:M10"/>
    <mergeCell ref="H11:M11"/>
    <mergeCell ref="H12:M12"/>
    <mergeCell ref="H14:M14"/>
    <mergeCell ref="H16:M16"/>
  </mergeCells>
  <conditionalFormatting sqref="N50:U50">
    <cfRule type="cellIs" dxfId="1" priority="2" operator="equal">
      <formula>"ERROR"</formula>
    </cfRule>
  </conditionalFormatting>
  <pageMargins left="0.15" right="0.15" top="0.15" bottom="0.15" header="0" footer="0.15"/>
  <pageSetup scale="67"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27FE-C86D-4714-8BFD-6FFD7379FE8E}">
  <sheetPr>
    <tabColor theme="4" tint="0.59999389629810485"/>
    <pageSetUpPr fitToPage="1"/>
  </sheetPr>
  <dimension ref="A1:AK131"/>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12" width="4.109375" style="654" customWidth="1"/>
    <col min="13" max="13" width="30.109375" style="654" customWidth="1"/>
    <col min="14" max="15" width="15.6640625" style="146" customWidth="1"/>
    <col min="16" max="16" width="13.6640625" style="146" customWidth="1"/>
    <col min="17" max="17" width="12.5546875" style="146" customWidth="1"/>
    <col min="18" max="21" width="12.109375" style="146" customWidth="1"/>
    <col min="22" max="22" width="84.88671875" style="146" customWidth="1"/>
    <col min="23" max="23" width="4.109375" style="146" customWidth="1"/>
    <col min="24" max="26" width="9.109375" style="146"/>
    <col min="27" max="27" width="27" style="146" bestFit="1" customWidth="1"/>
    <col min="28" max="28" width="22.6640625" style="146" bestFit="1" customWidth="1"/>
    <col min="29" max="29" width="21.33203125" style="146" bestFit="1" customWidth="1"/>
    <col min="30" max="30" width="25.44140625" style="146" bestFit="1" customWidth="1"/>
    <col min="31" max="31" width="24" style="146" bestFit="1" customWidth="1"/>
    <col min="32" max="32" width="22.5546875" style="146" bestFit="1" customWidth="1"/>
    <col min="33" max="33" width="9.109375" style="146" customWidth="1"/>
    <col min="34" max="34" width="24.109375" style="146" bestFit="1" customWidth="1"/>
    <col min="35" max="35" width="16.33203125" style="146" bestFit="1" customWidth="1"/>
    <col min="36" max="36" width="19.6640625" style="146" bestFit="1" customWidth="1"/>
    <col min="37" max="16384" width="9.109375" style="146"/>
  </cols>
  <sheetData>
    <row r="1" spans="1:37" s="667" customFormat="1" ht="39.9" customHeight="1" thickBot="1">
      <c r="A1" s="666" t="str">
        <f>+Manual!A1</f>
        <v>Q2
2025</v>
      </c>
      <c r="B1" s="666" t="str">
        <f>+Manual!D1</f>
        <v>Q2
2026</v>
      </c>
      <c r="C1" s="666"/>
      <c r="D1" s="666"/>
      <c r="E1" s="666"/>
      <c r="F1" s="666"/>
      <c r="G1" s="653"/>
      <c r="H1" s="1143" t="s">
        <v>677</v>
      </c>
      <c r="I1" s="1143"/>
      <c r="J1" s="1143"/>
      <c r="K1" s="1143"/>
      <c r="L1" s="1143"/>
      <c r="M1" s="1143"/>
      <c r="N1" s="1143"/>
      <c r="O1" s="1143"/>
      <c r="P1" s="1143"/>
      <c r="Q1" s="1143"/>
      <c r="R1" s="1143"/>
      <c r="S1" s="1143"/>
      <c r="T1" s="1143"/>
      <c r="U1" s="1143"/>
      <c r="V1" s="889" t="s">
        <v>752</v>
      </c>
      <c r="W1" s="661"/>
    </row>
    <row r="2" spans="1:37" s="654" customFormat="1" ht="14.4">
      <c r="A2" s="656"/>
      <c r="B2" s="656"/>
      <c r="C2" s="656"/>
      <c r="D2" s="656"/>
      <c r="E2" s="656"/>
      <c r="F2" s="656"/>
      <c r="W2" s="661"/>
    </row>
    <row r="3" spans="1:37" s="654" customFormat="1" ht="14.4">
      <c r="A3" s="656"/>
      <c r="B3" s="656"/>
      <c r="C3" s="656"/>
      <c r="D3" s="656"/>
      <c r="E3" s="656"/>
      <c r="F3" s="656"/>
      <c r="G3" s="802"/>
      <c r="H3" s="803"/>
      <c r="I3" s="803"/>
      <c r="J3" s="803"/>
      <c r="K3" s="803"/>
      <c r="L3" s="803"/>
      <c r="M3" s="803"/>
      <c r="N3" s="803"/>
      <c r="O3" s="1176" t="str">
        <f>+_xlfn.CONCAT("As of or for the period ended ",CHOOSE(RIGHT(LEFT(B1,2),1),"March 31, ","June 30, ","September 30, ","December 31, "),RIGHT(B1,4))</f>
        <v>As of or for the period ended June 30, 2026</v>
      </c>
      <c r="P3" s="1176"/>
      <c r="Q3" s="1176"/>
      <c r="R3" s="1176"/>
      <c r="S3" s="1176"/>
      <c r="T3" s="1176"/>
      <c r="U3" s="1176"/>
      <c r="V3" s="812"/>
      <c r="W3" s="661"/>
    </row>
    <row r="4" spans="1:37" s="654" customFormat="1" ht="15" customHeight="1">
      <c r="A4" s="656"/>
      <c r="B4" s="656"/>
      <c r="C4" s="656"/>
      <c r="D4" s="656"/>
      <c r="E4" s="656"/>
      <c r="F4" s="656"/>
      <c r="G4" s="802"/>
      <c r="H4" s="804"/>
      <c r="I4" s="804"/>
      <c r="J4" s="804"/>
      <c r="K4" s="804"/>
      <c r="L4" s="804"/>
      <c r="M4" s="804"/>
      <c r="N4" s="804"/>
      <c r="O4" s="813"/>
      <c r="P4" s="813"/>
      <c r="Q4" s="813"/>
      <c r="R4" s="814" t="s">
        <v>309</v>
      </c>
      <c r="S4" s="815"/>
      <c r="T4" s="816" t="s">
        <v>310</v>
      </c>
      <c r="U4" s="804"/>
      <c r="V4" s="804"/>
      <c r="W4" s="661"/>
    </row>
    <row r="5" spans="1:37" s="654" customFormat="1" ht="15" customHeight="1">
      <c r="A5" s="656"/>
      <c r="B5" s="656"/>
      <c r="C5" s="656"/>
      <c r="D5" s="656"/>
      <c r="E5" s="656"/>
      <c r="F5" s="656"/>
      <c r="G5" s="804"/>
      <c r="H5" s="804"/>
      <c r="I5" s="804"/>
      <c r="J5" s="804"/>
      <c r="K5" s="804"/>
      <c r="L5" s="804"/>
      <c r="M5" s="804"/>
      <c r="N5" s="804"/>
      <c r="O5" s="817" t="s">
        <v>311</v>
      </c>
      <c r="P5" s="817" t="s">
        <v>312</v>
      </c>
      <c r="Q5" s="817" t="s">
        <v>313</v>
      </c>
      <c r="R5" s="817" t="s">
        <v>314</v>
      </c>
      <c r="S5" s="817" t="s">
        <v>312</v>
      </c>
      <c r="T5" s="817" t="s">
        <v>669</v>
      </c>
      <c r="U5" s="817" t="s">
        <v>315</v>
      </c>
      <c r="V5" s="817"/>
      <c r="W5" s="661"/>
    </row>
    <row r="6" spans="1:37" s="654" customFormat="1" ht="14.4">
      <c r="A6" s="656"/>
      <c r="B6" s="656"/>
      <c r="C6" s="656"/>
      <c r="D6" s="656"/>
      <c r="E6" s="656"/>
      <c r="F6" s="656"/>
      <c r="G6" s="802" t="s">
        <v>0</v>
      </c>
      <c r="H6" s="804"/>
      <c r="I6" s="804"/>
      <c r="J6" s="804"/>
      <c r="K6" s="804"/>
      <c r="L6" s="804"/>
      <c r="M6" s="804"/>
      <c r="N6" s="804"/>
      <c r="O6" s="818" t="s">
        <v>316</v>
      </c>
      <c r="P6" s="818" t="s">
        <v>317</v>
      </c>
      <c r="Q6" s="818" t="s">
        <v>318</v>
      </c>
      <c r="R6" s="818" t="s">
        <v>319</v>
      </c>
      <c r="S6" s="818" t="s">
        <v>317</v>
      </c>
      <c r="T6" s="818" t="s">
        <v>320</v>
      </c>
      <c r="U6" s="818" t="s">
        <v>321</v>
      </c>
      <c r="V6" s="817"/>
      <c r="W6" s="661"/>
    </row>
    <row r="7" spans="1:37" s="654" customFormat="1" ht="15" customHeight="1">
      <c r="A7" s="656"/>
      <c r="B7" s="656"/>
      <c r="C7" s="656"/>
      <c r="D7" s="656"/>
      <c r="E7" s="656"/>
      <c r="F7" s="656"/>
      <c r="G7" s="1175" t="s">
        <v>322</v>
      </c>
      <c r="H7" s="1175"/>
      <c r="I7" s="1175"/>
      <c r="J7" s="1175"/>
      <c r="K7" s="1175"/>
      <c r="L7" s="1175"/>
      <c r="M7" s="1175"/>
      <c r="W7" s="661"/>
      <c r="AA7" s="819"/>
      <c r="AB7" s="819" t="s">
        <v>340</v>
      </c>
      <c r="AC7" s="820"/>
      <c r="AD7" s="820"/>
      <c r="AE7" s="820"/>
      <c r="AF7" s="821"/>
      <c r="AG7" s="822"/>
      <c r="AH7" s="819"/>
      <c r="AI7" s="819" t="s">
        <v>340</v>
      </c>
      <c r="AJ7" s="823"/>
      <c r="AK7" s="822"/>
    </row>
    <row r="8" spans="1:37" ht="15" customHeight="1">
      <c r="G8" s="804"/>
      <c r="H8" s="804"/>
      <c r="I8" s="804"/>
      <c r="J8" s="804"/>
      <c r="K8" s="804"/>
      <c r="L8" s="804"/>
      <c r="M8" s="804"/>
      <c r="W8"/>
      <c r="AA8" s="435" t="s">
        <v>341</v>
      </c>
      <c r="AB8" s="439" t="s">
        <v>342</v>
      </c>
      <c r="AC8" s="440" t="s">
        <v>343</v>
      </c>
      <c r="AD8" s="440" t="s">
        <v>344</v>
      </c>
      <c r="AE8" s="440" t="s">
        <v>345</v>
      </c>
      <c r="AF8" s="441" t="s">
        <v>346</v>
      </c>
      <c r="AG8" s="437"/>
      <c r="AH8" s="435" t="s">
        <v>341</v>
      </c>
      <c r="AI8" s="435" t="s">
        <v>347</v>
      </c>
      <c r="AJ8" s="442" t="s">
        <v>348</v>
      </c>
      <c r="AK8" s="437"/>
    </row>
    <row r="9" spans="1:37" ht="15" customHeight="1">
      <c r="G9" s="805" t="s">
        <v>323</v>
      </c>
      <c r="H9" s="804"/>
      <c r="I9" s="804"/>
      <c r="J9" s="804"/>
      <c r="K9" s="804"/>
      <c r="L9" s="804"/>
      <c r="M9" s="804"/>
      <c r="O9" s="780">
        <f>+AB9/1000</f>
        <v>605133.10785999999</v>
      </c>
      <c r="P9" s="780">
        <f>+AC9/1000</f>
        <v>605135.69177999999</v>
      </c>
      <c r="Q9" s="781">
        <f>AD9/1000</f>
        <v>-2.5839199999570845</v>
      </c>
      <c r="R9" s="791">
        <f>+AE9</f>
        <v>0.1462219417995354</v>
      </c>
      <c r="S9" s="791">
        <f>+AF9</f>
        <v>0.14142858501058389</v>
      </c>
      <c r="T9" s="792"/>
      <c r="U9" s="781"/>
      <c r="V9" s="165"/>
      <c r="W9"/>
      <c r="AA9" s="435" t="s">
        <v>349</v>
      </c>
      <c r="AB9" s="1055">
        <v>605133107.86000001</v>
      </c>
      <c r="AC9" s="1056">
        <v>605135691.77999997</v>
      </c>
      <c r="AD9" s="1056">
        <v>-2583.9199999570847</v>
      </c>
      <c r="AE9" s="1057">
        <v>0.1462219417995354</v>
      </c>
      <c r="AF9" s="1058">
        <v>0.14142858501058389</v>
      </c>
      <c r="AG9" s="437"/>
      <c r="AH9" s="443" t="s">
        <v>350</v>
      </c>
      <c r="AI9" s="444">
        <v>3.0780764448637328</v>
      </c>
      <c r="AJ9" s="445">
        <v>1.6576273135986144</v>
      </c>
      <c r="AK9" s="446" t="s">
        <v>803</v>
      </c>
    </row>
    <row r="10" spans="1:37" ht="15" customHeight="1">
      <c r="G10" s="804"/>
      <c r="H10" s="804"/>
      <c r="I10" s="804"/>
      <c r="J10" s="804"/>
      <c r="K10" s="804"/>
      <c r="L10" s="804"/>
      <c r="M10" s="804"/>
      <c r="O10" s="153"/>
      <c r="P10" s="153"/>
      <c r="Q10" s="153"/>
      <c r="R10" s="792"/>
      <c r="S10" s="792"/>
      <c r="T10" s="793"/>
      <c r="U10" s="165"/>
      <c r="V10" s="165"/>
      <c r="W10"/>
      <c r="AA10" s="447"/>
      <c r="AB10" s="1059"/>
      <c r="AC10" s="1060"/>
      <c r="AD10" s="1060"/>
      <c r="AE10" s="1061"/>
      <c r="AF10" s="1062"/>
      <c r="AG10" s="437"/>
      <c r="AH10" s="448" t="s">
        <v>352</v>
      </c>
      <c r="AI10" s="449">
        <v>3.3649850030281065</v>
      </c>
      <c r="AJ10" s="450">
        <v>4.2048546963875753</v>
      </c>
      <c r="AK10" s="446" t="s">
        <v>353</v>
      </c>
    </row>
    <row r="11" spans="1:37" ht="14.4">
      <c r="G11" s="805" t="s">
        <v>324</v>
      </c>
      <c r="H11" s="804"/>
      <c r="I11" s="804"/>
      <c r="J11" s="804"/>
      <c r="K11" s="804"/>
      <c r="L11" s="804"/>
      <c r="M11" s="804"/>
      <c r="O11" s="153"/>
      <c r="P11" s="153"/>
      <c r="Q11" s="153"/>
      <c r="R11" s="792"/>
      <c r="S11" s="792"/>
      <c r="T11" s="793"/>
      <c r="U11" s="165"/>
      <c r="V11" s="165"/>
      <c r="W11"/>
      <c r="AA11" s="451" t="s">
        <v>350</v>
      </c>
      <c r="AB11" s="1063">
        <v>12049782.490000002</v>
      </c>
      <c r="AC11" s="1064">
        <v>12325689.219999999</v>
      </c>
      <c r="AD11" s="1064">
        <v>-275906.72999999672</v>
      </c>
      <c r="AE11" s="1065">
        <v>2.9116612048889477E-3</v>
      </c>
      <c r="AF11" s="1066">
        <v>2.8806841330697081E-3</v>
      </c>
      <c r="AG11" s="437"/>
      <c r="AH11" s="452" t="s">
        <v>354</v>
      </c>
      <c r="AI11" s="449">
        <v>3.4227793340440855</v>
      </c>
      <c r="AJ11" s="450">
        <v>3.4215867441385304</v>
      </c>
      <c r="AK11" s="446" t="s">
        <v>355</v>
      </c>
    </row>
    <row r="12" spans="1:37" ht="15" customHeight="1">
      <c r="G12" s="804"/>
      <c r="H12" s="806" t="str">
        <f t="shared" ref="H12:H20" si="0">AA11</f>
        <v>Treasury</v>
      </c>
      <c r="I12" s="804"/>
      <c r="J12" s="804"/>
      <c r="K12" s="804"/>
      <c r="L12" s="804"/>
      <c r="M12" s="804"/>
      <c r="O12" s="786">
        <f t="shared" ref="O12:O20" si="1">+AB11/1000</f>
        <v>12049.782490000001</v>
      </c>
      <c r="P12" s="786">
        <f t="shared" ref="P12:P20" si="2">+AC11/1000</f>
        <v>12325.689219999998</v>
      </c>
      <c r="Q12" s="786">
        <f t="shared" ref="Q12:Q20" si="3">+AD11/1000</f>
        <v>-275.90672999999674</v>
      </c>
      <c r="R12" s="791">
        <f t="shared" ref="R12:R20" si="4">+AE11</f>
        <v>2.9116612048889477E-3</v>
      </c>
      <c r="S12" s="791">
        <f t="shared" ref="S12:S20" si="5">+AF11</f>
        <v>2.8806841330697081E-3</v>
      </c>
      <c r="T12" s="792">
        <f t="shared" ref="T12:T21" si="6">+AI9/100</f>
        <v>3.0780764448637327E-2</v>
      </c>
      <c r="U12" s="233" t="str">
        <f t="shared" ref="U12:U21" si="7">+AK9</f>
        <v>AA+</v>
      </c>
      <c r="V12" s="233"/>
      <c r="W12"/>
      <c r="AA12" s="451" t="s">
        <v>352</v>
      </c>
      <c r="AB12" s="1067">
        <v>232530115.47999409</v>
      </c>
      <c r="AC12" s="1068">
        <v>245134444.05000004</v>
      </c>
      <c r="AD12" s="1068">
        <v>-12604328.570005953</v>
      </c>
      <c r="AE12" s="1069">
        <v>5.618764627272916E-2</v>
      </c>
      <c r="AF12" s="1070">
        <v>5.7291311734346921E-2</v>
      </c>
      <c r="AG12" s="437"/>
      <c r="AH12" s="452" t="s">
        <v>932</v>
      </c>
      <c r="AI12" s="449">
        <v>4.5103453818914296</v>
      </c>
      <c r="AJ12" s="450">
        <v>7.96550827911343</v>
      </c>
      <c r="AK12" s="446" t="s">
        <v>357</v>
      </c>
    </row>
    <row r="13" spans="1:37" ht="15" customHeight="1">
      <c r="G13" s="804"/>
      <c r="H13" s="806" t="str">
        <f t="shared" si="0"/>
        <v>Government</v>
      </c>
      <c r="I13" s="804"/>
      <c r="J13" s="804"/>
      <c r="K13" s="804"/>
      <c r="L13" s="804"/>
      <c r="M13" s="804"/>
      <c r="O13" s="786">
        <f t="shared" si="1"/>
        <v>232530.1154799941</v>
      </c>
      <c r="P13" s="786">
        <f t="shared" si="2"/>
        <v>245134.44405000005</v>
      </c>
      <c r="Q13" s="786">
        <f t="shared" si="3"/>
        <v>-12604.328570005953</v>
      </c>
      <c r="R13" s="791">
        <f t="shared" si="4"/>
        <v>5.618764627272916E-2</v>
      </c>
      <c r="S13" s="791">
        <f t="shared" si="5"/>
        <v>5.7291311734346921E-2</v>
      </c>
      <c r="T13" s="792">
        <f t="shared" si="6"/>
        <v>3.3649850030281064E-2</v>
      </c>
      <c r="U13" s="233" t="str">
        <f t="shared" si="7"/>
        <v>AA-</v>
      </c>
      <c r="V13" s="233"/>
      <c r="W13"/>
      <c r="AA13" s="451" t="s">
        <v>354</v>
      </c>
      <c r="AB13" s="1067">
        <v>46386391.649999999</v>
      </c>
      <c r="AC13" s="1068">
        <v>47320763.68</v>
      </c>
      <c r="AD13" s="1068">
        <v>-934372.03000000119</v>
      </c>
      <c r="AE13" s="1069">
        <v>1.1208621990826458E-2</v>
      </c>
      <c r="AF13" s="1070">
        <v>1.1059517294702434E-2</v>
      </c>
      <c r="AG13" s="437"/>
      <c r="AH13" s="452" t="s">
        <v>933</v>
      </c>
      <c r="AI13" s="449">
        <v>4.2400052685251897</v>
      </c>
      <c r="AJ13" s="450">
        <v>1.2259516747025299</v>
      </c>
      <c r="AK13" s="446" t="s">
        <v>351</v>
      </c>
    </row>
    <row r="14" spans="1:37" ht="15" customHeight="1">
      <c r="G14" s="804"/>
      <c r="H14" s="806" t="str">
        <f t="shared" si="0"/>
        <v>Tax-Exempt Municipal</v>
      </c>
      <c r="I14" s="804"/>
      <c r="J14" s="804"/>
      <c r="K14" s="804"/>
      <c r="L14" s="804"/>
      <c r="M14" s="804"/>
      <c r="O14" s="786">
        <f t="shared" si="1"/>
        <v>46386.391649999998</v>
      </c>
      <c r="P14" s="786">
        <f t="shared" si="2"/>
        <v>47320.763679999996</v>
      </c>
      <c r="Q14" s="786">
        <f t="shared" si="3"/>
        <v>-934.37203000000125</v>
      </c>
      <c r="R14" s="791">
        <f t="shared" si="4"/>
        <v>1.1208621990826458E-2</v>
      </c>
      <c r="S14" s="791">
        <f t="shared" si="5"/>
        <v>1.1059517294702434E-2</v>
      </c>
      <c r="T14" s="792">
        <f t="shared" si="6"/>
        <v>3.4227793340440855E-2</v>
      </c>
      <c r="U14" s="233" t="str">
        <f t="shared" si="7"/>
        <v>AA</v>
      </c>
      <c r="V14" s="233"/>
      <c r="W14"/>
      <c r="AA14" s="447" t="s">
        <v>932</v>
      </c>
      <c r="AB14" s="1067">
        <v>1870583451.3899941</v>
      </c>
      <c r="AC14" s="1068">
        <v>1926178498.5100026</v>
      </c>
      <c r="AD14" s="1068">
        <v>-55595047.120008469</v>
      </c>
      <c r="AE14" s="1069">
        <v>0.45200029713727352</v>
      </c>
      <c r="AF14" s="1070">
        <v>0.45017456947675655</v>
      </c>
      <c r="AG14" s="437"/>
      <c r="AH14" s="452" t="s">
        <v>934</v>
      </c>
      <c r="AI14" s="449">
        <v>4.5801992045859903</v>
      </c>
      <c r="AJ14" s="450">
        <v>3.887139817376883</v>
      </c>
      <c r="AK14" s="446" t="s">
        <v>353</v>
      </c>
    </row>
    <row r="15" spans="1:37" ht="15" customHeight="1">
      <c r="G15" s="804"/>
      <c r="H15" s="806" t="str">
        <f t="shared" si="0"/>
        <v>Public Corporate</v>
      </c>
      <c r="I15" s="804"/>
      <c r="J15" s="804"/>
      <c r="K15" s="804"/>
      <c r="L15" s="804"/>
      <c r="M15" s="804"/>
      <c r="O15" s="786">
        <f t="shared" si="1"/>
        <v>1870583.4513899942</v>
      </c>
      <c r="P15" s="786">
        <f t="shared" si="2"/>
        <v>1926178.4985100026</v>
      </c>
      <c r="Q15" s="786">
        <f t="shared" si="3"/>
        <v>-55595.047120008472</v>
      </c>
      <c r="R15" s="791">
        <f t="shared" si="4"/>
        <v>0.45200029713727352</v>
      </c>
      <c r="S15" s="791">
        <f t="shared" si="5"/>
        <v>0.45017456947675655</v>
      </c>
      <c r="T15" s="792">
        <f t="shared" si="6"/>
        <v>4.5103453818914299E-2</v>
      </c>
      <c r="U15" s="233" t="str">
        <f t="shared" si="7"/>
        <v>BBB+</v>
      </c>
      <c r="V15" s="233"/>
      <c r="W15"/>
      <c r="AA15" s="1100" t="s">
        <v>933</v>
      </c>
      <c r="AB15" s="1067">
        <v>654618868.30999243</v>
      </c>
      <c r="AC15" s="1068">
        <v>703575456.74000037</v>
      </c>
      <c r="AD15" s="1068">
        <v>-48956588.430007935</v>
      </c>
      <c r="AE15" s="1069">
        <v>0.15817948286023473</v>
      </c>
      <c r="AF15" s="1070">
        <v>0.1644353202869569</v>
      </c>
      <c r="AG15" s="437"/>
      <c r="AH15" s="452" t="s">
        <v>360</v>
      </c>
      <c r="AI15" s="449">
        <v>3.6714803455060725</v>
      </c>
      <c r="AJ15" s="450">
        <v>4.8883039809532933</v>
      </c>
      <c r="AK15" s="446" t="s">
        <v>511</v>
      </c>
    </row>
    <row r="16" spans="1:37" ht="14.4">
      <c r="G16" s="804"/>
      <c r="H16" s="806" t="str">
        <f t="shared" si="0"/>
        <v>Mortgage-Backed</v>
      </c>
      <c r="I16" s="807"/>
      <c r="J16" s="804"/>
      <c r="K16" s="804"/>
      <c r="L16" s="804"/>
      <c r="M16" s="808"/>
      <c r="O16" s="786">
        <f t="shared" si="1"/>
        <v>654618.86830999248</v>
      </c>
      <c r="P16" s="786">
        <f t="shared" si="2"/>
        <v>703575.4567400004</v>
      </c>
      <c r="Q16" s="786">
        <f t="shared" si="3"/>
        <v>-48956.588430007934</v>
      </c>
      <c r="R16" s="791">
        <f t="shared" si="4"/>
        <v>0.15817948286023473</v>
      </c>
      <c r="S16" s="791">
        <f t="shared" si="5"/>
        <v>0.1644353202869569</v>
      </c>
      <c r="T16" s="792">
        <f t="shared" si="6"/>
        <v>4.2400052685251897E-2</v>
      </c>
      <c r="U16" s="233" t="str">
        <f t="shared" si="7"/>
        <v>AAA</v>
      </c>
      <c r="V16" s="233"/>
      <c r="W16"/>
      <c r="AA16" s="1100" t="s">
        <v>934</v>
      </c>
      <c r="AB16" s="1067">
        <v>247047449.17999914</v>
      </c>
      <c r="AC16" s="1068">
        <v>251545191.76000008</v>
      </c>
      <c r="AD16" s="1068">
        <v>-4497742.580000937</v>
      </c>
      <c r="AE16" s="1069">
        <v>5.969555667424975E-2</v>
      </c>
      <c r="AF16" s="1070">
        <v>5.8789592185824184E-2</v>
      </c>
      <c r="AG16" s="437"/>
      <c r="AH16" s="452" t="s">
        <v>936</v>
      </c>
      <c r="AI16" s="449">
        <v>5.2897010781934037</v>
      </c>
      <c r="AJ16" s="450">
        <v>8.2975948609974743</v>
      </c>
      <c r="AK16" s="446" t="s">
        <v>357</v>
      </c>
    </row>
    <row r="17" spans="7:37" ht="15" customHeight="1">
      <c r="G17" s="804"/>
      <c r="H17" s="806" t="str">
        <f t="shared" si="0"/>
        <v>Asset-Backed</v>
      </c>
      <c r="I17" s="807"/>
      <c r="J17" s="804"/>
      <c r="K17" s="804"/>
      <c r="L17" s="804"/>
      <c r="M17" s="804"/>
      <c r="O17" s="786">
        <f t="shared" si="1"/>
        <v>247047.44917999915</v>
      </c>
      <c r="P17" s="786">
        <f t="shared" si="2"/>
        <v>251545.19176000007</v>
      </c>
      <c r="Q17" s="786">
        <f t="shared" si="3"/>
        <v>-4497.7425800009369</v>
      </c>
      <c r="R17" s="791">
        <f t="shared" si="4"/>
        <v>5.969555667424975E-2</v>
      </c>
      <c r="S17" s="791">
        <f t="shared" si="5"/>
        <v>5.8789592185824184E-2</v>
      </c>
      <c r="T17" s="792">
        <f t="shared" si="6"/>
        <v>4.5801992045859906E-2</v>
      </c>
      <c r="U17" s="233" t="str">
        <f t="shared" si="7"/>
        <v>AA-</v>
      </c>
      <c r="V17" s="233"/>
      <c r="W17"/>
      <c r="AA17" s="1100" t="s">
        <v>935</v>
      </c>
      <c r="AB17" s="1067">
        <v>78424236.249998972</v>
      </c>
      <c r="AC17" s="1068">
        <v>85345750.379999995</v>
      </c>
      <c r="AD17" s="1068">
        <v>-6921514.1300010234</v>
      </c>
      <c r="AE17" s="1069">
        <v>1.8950118510576323E-2</v>
      </c>
      <c r="AF17" s="1070">
        <v>1.9946482874618025E-2</v>
      </c>
      <c r="AG17" s="437"/>
      <c r="AH17" s="452" t="s">
        <v>363</v>
      </c>
      <c r="AI17" s="449">
        <v>5.0058369837002239</v>
      </c>
      <c r="AJ17" s="450">
        <v>10</v>
      </c>
      <c r="AK17" s="446" t="s">
        <v>364</v>
      </c>
    </row>
    <row r="18" spans="7:37" ht="15" customHeight="1" thickBot="1">
      <c r="G18" s="804"/>
      <c r="H18" s="806" t="str">
        <f>AA17</f>
        <v>CMBS</v>
      </c>
      <c r="I18" s="804"/>
      <c r="J18" s="804"/>
      <c r="K18" s="804"/>
      <c r="L18" s="804"/>
      <c r="M18" s="804"/>
      <c r="O18" s="786">
        <f t="shared" si="1"/>
        <v>78424.236249998969</v>
      </c>
      <c r="P18" s="786">
        <f t="shared" si="2"/>
        <v>85345.750379999998</v>
      </c>
      <c r="Q18" s="786">
        <f t="shared" si="3"/>
        <v>-6921.5141300010237</v>
      </c>
      <c r="R18" s="791">
        <f t="shared" si="4"/>
        <v>1.8950118510576323E-2</v>
      </c>
      <c r="S18" s="791">
        <f t="shared" si="5"/>
        <v>1.9946482874618025E-2</v>
      </c>
      <c r="T18" s="792">
        <f t="shared" si="6"/>
        <v>3.6714803455060722E-2</v>
      </c>
      <c r="U18" s="233" t="str">
        <f t="shared" si="7"/>
        <v>A+</v>
      </c>
      <c r="V18" s="233"/>
      <c r="W18"/>
      <c r="AA18" s="1100" t="s">
        <v>936</v>
      </c>
      <c r="AB18" s="1067">
        <v>359752998.04000002</v>
      </c>
      <c r="AC18" s="1068">
        <v>369661654.51000005</v>
      </c>
      <c r="AD18" s="1068">
        <v>-9908656.4700000286</v>
      </c>
      <c r="AE18" s="1069">
        <v>8.6929274333777409E-2</v>
      </c>
      <c r="AF18" s="1070">
        <v>8.6395044021015291E-2</v>
      </c>
      <c r="AG18" s="437"/>
      <c r="AH18" s="453" t="s">
        <v>365</v>
      </c>
      <c r="AI18" s="454">
        <v>4.4269305376922912</v>
      </c>
      <c r="AJ18" s="455">
        <v>6.0156556759387323</v>
      </c>
      <c r="AK18" s="446" t="s">
        <v>366</v>
      </c>
    </row>
    <row r="19" spans="7:37" ht="15" thickTop="1">
      <c r="G19" s="804"/>
      <c r="H19" s="806" t="str">
        <f t="shared" si="0"/>
        <v>Private Placements</v>
      </c>
      <c r="I19" s="804"/>
      <c r="J19" s="804"/>
      <c r="K19" s="804"/>
      <c r="L19" s="804"/>
      <c r="M19" s="804"/>
      <c r="O19" s="786">
        <f t="shared" si="1"/>
        <v>359752.99804000003</v>
      </c>
      <c r="P19" s="786">
        <f t="shared" si="2"/>
        <v>369661.65451000002</v>
      </c>
      <c r="Q19" s="786">
        <f t="shared" si="3"/>
        <v>-9908.656470000029</v>
      </c>
      <c r="R19" s="791">
        <f t="shared" si="4"/>
        <v>8.6929274333777409E-2</v>
      </c>
      <c r="S19" s="791">
        <f t="shared" si="5"/>
        <v>8.6395044021015291E-2</v>
      </c>
      <c r="T19" s="792">
        <f t="shared" si="6"/>
        <v>5.289701078193404E-2</v>
      </c>
      <c r="U19" s="233" t="str">
        <f t="shared" si="7"/>
        <v>BBB+</v>
      </c>
      <c r="V19" s="233"/>
      <c r="W19"/>
      <c r="AA19" s="451" t="s">
        <v>363</v>
      </c>
      <c r="AB19" s="1067">
        <v>2664495.04</v>
      </c>
      <c r="AC19" s="1068">
        <v>3248316.02</v>
      </c>
      <c r="AD19" s="1068">
        <v>-583820.98</v>
      </c>
      <c r="AE19" s="1069">
        <v>6.4383791533377489E-4</v>
      </c>
      <c r="AF19" s="1070">
        <v>7.591764039309556E-4</v>
      </c>
      <c r="AG19" s="437"/>
      <c r="AH19" s="437"/>
      <c r="AI19" s="437"/>
      <c r="AJ19" s="437"/>
      <c r="AK19" s="437"/>
    </row>
    <row r="20" spans="7:37" ht="15" customHeight="1">
      <c r="G20" s="804"/>
      <c r="H20" s="806" t="str">
        <f t="shared" si="0"/>
        <v>Redeemable Preferred</v>
      </c>
      <c r="I20" s="804"/>
      <c r="J20" s="804"/>
      <c r="K20" s="804"/>
      <c r="L20" s="804"/>
      <c r="M20" s="804"/>
      <c r="O20" s="786">
        <f t="shared" si="1"/>
        <v>2664.4950400000002</v>
      </c>
      <c r="P20" s="786">
        <f t="shared" si="2"/>
        <v>3248.3160200000002</v>
      </c>
      <c r="Q20" s="786">
        <f t="shared" si="3"/>
        <v>-583.82097999999996</v>
      </c>
      <c r="R20" s="791">
        <f t="shared" si="4"/>
        <v>6.4383791533377489E-4</v>
      </c>
      <c r="S20" s="791">
        <f t="shared" si="5"/>
        <v>7.591764039309556E-4</v>
      </c>
      <c r="T20" s="792">
        <f t="shared" si="6"/>
        <v>5.0058369837002237E-2</v>
      </c>
      <c r="U20" s="233" t="str">
        <f t="shared" si="7"/>
        <v>BBB-</v>
      </c>
      <c r="V20" s="233"/>
      <c r="W20"/>
      <c r="AA20" s="447" t="s">
        <v>367</v>
      </c>
      <c r="AB20" s="1059">
        <v>0</v>
      </c>
      <c r="AC20" s="1060">
        <v>0</v>
      </c>
      <c r="AD20" s="1060">
        <v>0</v>
      </c>
      <c r="AE20" s="1061">
        <v>0</v>
      </c>
      <c r="AF20" s="1062">
        <v>0</v>
      </c>
      <c r="AG20" s="437"/>
      <c r="AH20" s="437"/>
      <c r="AI20" s="456"/>
      <c r="AJ20" s="456"/>
      <c r="AK20" s="437"/>
    </row>
    <row r="21" spans="7:37" ht="15" customHeight="1">
      <c r="G21" s="804"/>
      <c r="H21" s="804"/>
      <c r="I21" s="804"/>
      <c r="J21" s="804"/>
      <c r="K21" s="804"/>
      <c r="L21" s="804"/>
      <c r="M21" s="807" t="s">
        <v>325</v>
      </c>
      <c r="O21" s="787">
        <f>SUM(O12:O20)</f>
        <v>3504057.7878299789</v>
      </c>
      <c r="P21" s="787">
        <f>SUM(P12:P20)</f>
        <v>3644335.7648700029</v>
      </c>
      <c r="Q21" s="1083">
        <f>SUM(Q12:Q20)</f>
        <v>-140277.97704002433</v>
      </c>
      <c r="R21" s="794">
        <f>SUM(R12:R20)</f>
        <v>0.84670649689989008</v>
      </c>
      <c r="S21" s="794">
        <f>SUM(S12:S20)</f>
        <v>0.85173169841122076</v>
      </c>
      <c r="T21" s="794">
        <f t="shared" si="6"/>
        <v>4.4269305376922911E-2</v>
      </c>
      <c r="U21" s="234" t="str">
        <f t="shared" si="7"/>
        <v>A</v>
      </c>
      <c r="V21" s="233"/>
      <c r="W21"/>
      <c r="AA21" s="451" t="s">
        <v>368</v>
      </c>
      <c r="AB21" s="1067">
        <v>3442571.27</v>
      </c>
      <c r="AC21" s="1068">
        <v>3442571.27</v>
      </c>
      <c r="AD21" s="1068">
        <v>0</v>
      </c>
      <c r="AE21" s="1069">
        <v>8.3184914086563509E-4</v>
      </c>
      <c r="AF21" s="1070">
        <v>8.0457654395172512E-4</v>
      </c>
      <c r="AG21" s="437"/>
      <c r="AH21" s="456"/>
      <c r="AI21" s="456"/>
      <c r="AJ21" s="456"/>
      <c r="AK21" s="437"/>
    </row>
    <row r="22" spans="7:37" ht="15" customHeight="1">
      <c r="G22" s="804"/>
      <c r="H22" s="804"/>
      <c r="I22" s="804"/>
      <c r="J22" s="804"/>
      <c r="K22" s="804"/>
      <c r="L22" s="804"/>
      <c r="M22" s="804"/>
      <c r="O22" s="788"/>
      <c r="P22" s="789"/>
      <c r="Q22" s="790"/>
      <c r="R22" s="235"/>
      <c r="S22" s="235"/>
      <c r="T22" s="236"/>
      <c r="U22" s="237"/>
      <c r="V22" s="237"/>
      <c r="W22"/>
      <c r="AA22" s="451" t="s">
        <v>369</v>
      </c>
      <c r="AB22" s="1067">
        <v>21301705.650000002</v>
      </c>
      <c r="AC22" s="1068">
        <v>21301705.66</v>
      </c>
      <c r="AD22" s="1068">
        <v>-9.9999979138374329E-3</v>
      </c>
      <c r="AE22" s="1069">
        <v>5.1472588812736903E-3</v>
      </c>
      <c r="AF22" s="1070">
        <v>4.9785033848259884E-3</v>
      </c>
      <c r="AG22" s="437"/>
      <c r="AH22" s="437"/>
      <c r="AI22" s="437"/>
      <c r="AJ22" s="437"/>
      <c r="AK22" s="437"/>
    </row>
    <row r="23" spans="7:37" ht="15" customHeight="1">
      <c r="G23" s="805" t="s">
        <v>326</v>
      </c>
      <c r="H23" s="804"/>
      <c r="I23" s="804"/>
      <c r="J23" s="804"/>
      <c r="K23" s="804"/>
      <c r="L23" s="804"/>
      <c r="M23" s="804"/>
      <c r="O23" s="790"/>
      <c r="P23" s="790"/>
      <c r="Q23" s="790"/>
      <c r="R23" s="235"/>
      <c r="S23" s="235"/>
      <c r="T23" s="237"/>
      <c r="U23" s="237"/>
      <c r="V23" s="237"/>
      <c r="W23"/>
      <c r="AA23" s="451" t="s">
        <v>370</v>
      </c>
      <c r="AB23" s="1067">
        <v>4472736.3399979994</v>
      </c>
      <c r="AC23" s="1068">
        <v>4472736.37</v>
      </c>
      <c r="AD23" s="1068">
        <v>-3.0002000741660595E-2</v>
      </c>
      <c r="AE23" s="1069">
        <v>1.0807741045680199E-3</v>
      </c>
      <c r="AF23" s="1070">
        <v>1.0453403832019388E-3</v>
      </c>
      <c r="AG23" s="437"/>
      <c r="AH23" s="437"/>
      <c r="AI23" s="437"/>
      <c r="AJ23" s="437"/>
      <c r="AK23" s="437"/>
    </row>
    <row r="24" spans="7:37" ht="15" customHeight="1">
      <c r="G24" s="804"/>
      <c r="H24" s="806" t="str">
        <f>AA21</f>
        <v>Perpetual Preferred</v>
      </c>
      <c r="I24" s="804"/>
      <c r="J24" s="804"/>
      <c r="K24" s="804"/>
      <c r="L24" s="804"/>
      <c r="M24" s="804"/>
      <c r="O24" s="786">
        <f t="shared" ref="O24:P27" si="8">+AB21/1000</f>
        <v>3442.5712699999999</v>
      </c>
      <c r="P24" s="786">
        <f t="shared" si="8"/>
        <v>3442.5712699999999</v>
      </c>
      <c r="Q24" s="786">
        <f>+O24-P24</f>
        <v>0</v>
      </c>
      <c r="R24" s="791">
        <f t="shared" ref="R24:S27" si="9">+AE21</f>
        <v>8.3184914086563509E-4</v>
      </c>
      <c r="S24" s="791">
        <f t="shared" si="9"/>
        <v>8.0457654395172512E-4</v>
      </c>
      <c r="T24" s="795"/>
      <c r="U24" s="237"/>
      <c r="V24" s="237"/>
      <c r="W24"/>
      <c r="AA24" s="1100" t="s">
        <v>930</v>
      </c>
      <c r="AB24" s="1067">
        <v>48333.75</v>
      </c>
      <c r="AC24" s="1068">
        <v>48333.75</v>
      </c>
      <c r="AD24" s="1068">
        <v>0</v>
      </c>
      <c r="AE24" s="1069">
        <v>1.1679173867129376E-5</v>
      </c>
      <c r="AF24" s="1070">
        <v>1.129626621534743E-5</v>
      </c>
      <c r="AG24" s="437"/>
      <c r="AH24" s="457">
        <v>4138456244.6799769</v>
      </c>
      <c r="AI24" s="437" t="s">
        <v>785</v>
      </c>
      <c r="AJ24" s="437"/>
      <c r="AK24" s="437"/>
    </row>
    <row r="25" spans="7:37" ht="14.4">
      <c r="G25" s="804"/>
      <c r="H25" s="806" t="str">
        <f>AA22</f>
        <v>Common Stock</v>
      </c>
      <c r="I25" s="804"/>
      <c r="J25" s="804"/>
      <c r="K25" s="804"/>
      <c r="L25" s="804"/>
      <c r="M25" s="804"/>
      <c r="O25" s="786">
        <f t="shared" si="8"/>
        <v>21301.705650000004</v>
      </c>
      <c r="P25" s="786">
        <f t="shared" si="8"/>
        <v>21301.70566</v>
      </c>
      <c r="Q25" s="786">
        <v>0</v>
      </c>
      <c r="R25" s="791">
        <f t="shared" si="9"/>
        <v>5.1472588812736903E-3</v>
      </c>
      <c r="S25" s="791">
        <f t="shared" si="9"/>
        <v>4.9785033848259884E-3</v>
      </c>
      <c r="T25" s="795"/>
      <c r="U25" s="238"/>
      <c r="V25" s="238"/>
      <c r="W25"/>
      <c r="AA25" s="451"/>
      <c r="AB25" s="1071"/>
      <c r="AC25" s="1068"/>
      <c r="AD25" s="1068"/>
      <c r="AE25" s="1069"/>
      <c r="AF25" s="1072"/>
      <c r="AG25" s="437"/>
      <c r="AH25" s="457"/>
      <c r="AI25" s="437"/>
      <c r="AJ25" s="437"/>
      <c r="AK25" s="437"/>
    </row>
    <row r="26" spans="7:37" ht="14.4">
      <c r="G26" s="804"/>
      <c r="H26" s="809" t="str">
        <f>AA23</f>
        <v>Mutual Fund</v>
      </c>
      <c r="I26" s="804"/>
      <c r="J26" s="804"/>
      <c r="K26" s="804"/>
      <c r="L26" s="804"/>
      <c r="M26" s="804"/>
      <c r="O26" s="786">
        <f t="shared" si="8"/>
        <v>4472.7363399979995</v>
      </c>
      <c r="P26" s="786">
        <f t="shared" si="8"/>
        <v>4472.7363700000005</v>
      </c>
      <c r="Q26" s="786">
        <v>0</v>
      </c>
      <c r="R26" s="791">
        <f t="shared" si="9"/>
        <v>1.0807741045680199E-3</v>
      </c>
      <c r="S26" s="791">
        <f t="shared" si="9"/>
        <v>1.0453403832019388E-3</v>
      </c>
      <c r="T26" s="795"/>
      <c r="U26" s="237"/>
      <c r="V26" s="237"/>
      <c r="W26"/>
      <c r="AA26" s="458" t="s">
        <v>365</v>
      </c>
      <c r="AB26" s="1073">
        <v>4138456242.6999769</v>
      </c>
      <c r="AC26" s="1074">
        <v>4278736803.7000036</v>
      </c>
      <c r="AD26" s="1074">
        <v>-140280561.0000248</v>
      </c>
      <c r="AE26" s="1075">
        <v>1</v>
      </c>
      <c r="AF26" s="1076">
        <v>1</v>
      </c>
      <c r="AG26" s="437"/>
      <c r="AH26" s="1077">
        <v>5378442285.6000004</v>
      </c>
      <c r="AI26" s="437" t="s">
        <v>786</v>
      </c>
      <c r="AJ26" s="437"/>
      <c r="AK26" s="437"/>
    </row>
    <row r="27" spans="7:37" ht="14.4">
      <c r="G27" s="804"/>
      <c r="H27" s="809" t="str">
        <f>AA24</f>
        <v>Derivative</v>
      </c>
      <c r="I27" s="804"/>
      <c r="J27" s="804"/>
      <c r="K27" s="804"/>
      <c r="L27" s="804"/>
      <c r="M27" s="804"/>
      <c r="O27" s="786">
        <f t="shared" si="8"/>
        <v>48.333750000000002</v>
      </c>
      <c r="P27" s="786">
        <f t="shared" si="8"/>
        <v>48.333750000000002</v>
      </c>
      <c r="Q27" s="786">
        <v>0</v>
      </c>
      <c r="R27" s="791">
        <f t="shared" si="9"/>
        <v>1.1679173867129376E-5</v>
      </c>
      <c r="S27" s="791">
        <f t="shared" si="9"/>
        <v>1.129626621534743E-5</v>
      </c>
      <c r="T27" s="795"/>
      <c r="U27" s="237"/>
      <c r="V27" s="237"/>
      <c r="W27"/>
      <c r="AA27" s="437"/>
      <c r="AB27" s="1112"/>
      <c r="AC27" s="1068"/>
      <c r="AD27" s="1068"/>
      <c r="AE27" s="1069"/>
      <c r="AF27" s="1069"/>
      <c r="AG27" s="437"/>
      <c r="AH27" s="1077"/>
      <c r="AI27" s="437"/>
      <c r="AJ27" s="437"/>
      <c r="AK27" s="437"/>
    </row>
    <row r="28" spans="7:37" ht="14.4">
      <c r="G28" s="804"/>
      <c r="H28" s="804"/>
      <c r="I28" s="804"/>
      <c r="J28" s="804"/>
      <c r="K28" s="804"/>
      <c r="L28" s="804"/>
      <c r="M28" s="807" t="s">
        <v>327</v>
      </c>
      <c r="O28" s="787">
        <f>SUM(O24:O27)</f>
        <v>29265.347009998004</v>
      </c>
      <c r="P28" s="787">
        <f>SUM(P24:P27)</f>
        <v>29265.34705</v>
      </c>
      <c r="Q28" s="787">
        <f>SUM(Q24:Q27)</f>
        <v>0</v>
      </c>
      <c r="R28" s="794">
        <f>SUM(R24:R27)</f>
        <v>7.0715613005744747E-3</v>
      </c>
      <c r="S28" s="794">
        <f>SUM(S24:S27)</f>
        <v>6.8397165781949997E-3</v>
      </c>
      <c r="T28" s="795"/>
      <c r="U28" s="237"/>
      <c r="V28" s="237"/>
      <c r="W28"/>
      <c r="AA28" s="437"/>
      <c r="AB28" s="437"/>
      <c r="AC28" s="437"/>
      <c r="AD28" s="437"/>
      <c r="AE28" s="437"/>
      <c r="AF28" s="437"/>
      <c r="AG28" s="437"/>
      <c r="AH28" s="1077">
        <v>166466044.59</v>
      </c>
      <c r="AI28" s="437" t="s">
        <v>787</v>
      </c>
      <c r="AJ28" s="437"/>
      <c r="AK28" s="437"/>
    </row>
    <row r="29" spans="7:37" ht="14.4">
      <c r="G29" s="804"/>
      <c r="H29" s="804"/>
      <c r="I29" s="804"/>
      <c r="J29" s="804"/>
      <c r="K29" s="804"/>
      <c r="L29" s="804"/>
      <c r="M29" s="804"/>
      <c r="O29" s="239"/>
      <c r="P29" s="206"/>
      <c r="Q29" s="240"/>
      <c r="R29" s="796"/>
      <c r="S29" s="796"/>
      <c r="T29" s="795"/>
      <c r="U29" s="237"/>
      <c r="V29" s="237"/>
      <c r="W29"/>
      <c r="AA29" s="437"/>
      <c r="AB29" s="437"/>
      <c r="AC29" s="437"/>
      <c r="AD29" s="437"/>
      <c r="AE29" s="437"/>
      <c r="AF29" s="437"/>
      <c r="AG29" s="437"/>
      <c r="AH29" s="437">
        <v>0</v>
      </c>
      <c r="AI29" s="437" t="s">
        <v>895</v>
      </c>
      <c r="AJ29" s="437"/>
      <c r="AK29" s="437"/>
    </row>
    <row r="30" spans="7:37" ht="15" thickBot="1">
      <c r="G30" s="804"/>
      <c r="H30" s="804"/>
      <c r="I30" s="804"/>
      <c r="J30" s="804"/>
      <c r="K30" s="804"/>
      <c r="L30" s="804"/>
      <c r="M30" s="807" t="s">
        <v>328</v>
      </c>
      <c r="O30" s="782">
        <f>+O28+O21+O9</f>
        <v>4138456.2426999765</v>
      </c>
      <c r="P30" s="1094">
        <f>+P28+P21+P9</f>
        <v>4278736.8037000028</v>
      </c>
      <c r="Q30" s="1094">
        <f>+Q28+Q21+Q9</f>
        <v>-140280.56096002428</v>
      </c>
      <c r="R30" s="797">
        <f>+R28+R21+R9</f>
        <v>1</v>
      </c>
      <c r="S30" s="797">
        <f>+S28+S21+S9</f>
        <v>0.99999999999999967</v>
      </c>
      <c r="T30" s="795"/>
      <c r="U30" s="237"/>
      <c r="V30" s="237"/>
      <c r="W30"/>
      <c r="AA30" s="437"/>
      <c r="AB30" s="437"/>
      <c r="AC30" s="437"/>
      <c r="AD30" s="437"/>
      <c r="AE30" s="437"/>
      <c r="AF30" s="437"/>
      <c r="AG30" s="437"/>
      <c r="AH30" s="437">
        <v>0</v>
      </c>
      <c r="AI30" s="437"/>
      <c r="AJ30" s="437"/>
      <c r="AK30" s="437"/>
    </row>
    <row r="31" spans="7:37" ht="15" thickTop="1">
      <c r="G31" s="804"/>
      <c r="H31" s="804"/>
      <c r="I31" s="804"/>
      <c r="J31" s="804"/>
      <c r="K31" s="804"/>
      <c r="L31" s="804"/>
      <c r="M31" s="804"/>
      <c r="O31" s="1080"/>
      <c r="P31" s="1081"/>
      <c r="Q31" s="241"/>
      <c r="R31" s="798"/>
      <c r="S31" s="798"/>
      <c r="T31" s="798"/>
      <c r="U31" s="163"/>
      <c r="V31" s="163"/>
      <c r="W31"/>
      <c r="AA31" s="437"/>
      <c r="AB31" s="459"/>
      <c r="AC31" s="459"/>
      <c r="AD31" s="437"/>
      <c r="AE31" s="437"/>
      <c r="AF31" s="437"/>
      <c r="AG31" s="437"/>
      <c r="AH31" s="1077">
        <v>1073520000</v>
      </c>
      <c r="AI31" s="437" t="s">
        <v>788</v>
      </c>
      <c r="AJ31" s="437"/>
      <c r="AK31" s="437"/>
    </row>
    <row r="32" spans="7:37" ht="15.6">
      <c r="G32" s="1175" t="s">
        <v>329</v>
      </c>
      <c r="H32" s="1175"/>
      <c r="I32" s="1175"/>
      <c r="J32" s="1175"/>
      <c r="K32" s="1175"/>
      <c r="L32" s="1175"/>
      <c r="M32" s="1175"/>
      <c r="O32" s="242"/>
      <c r="P32" s="242"/>
      <c r="Q32" s="243"/>
      <c r="R32" s="799"/>
      <c r="S32" s="799"/>
      <c r="T32" s="799"/>
      <c r="U32" s="195"/>
      <c r="V32" s="195"/>
      <c r="W32"/>
      <c r="AA32" s="437"/>
      <c r="AB32" s="459"/>
      <c r="AC32" s="459"/>
      <c r="AD32" s="437"/>
      <c r="AE32" s="437"/>
      <c r="AF32" s="437"/>
      <c r="AG32" s="437"/>
      <c r="AH32" s="1077">
        <v>4138456241.0100002</v>
      </c>
      <c r="AI32" s="437" t="s">
        <v>789</v>
      </c>
      <c r="AJ32" s="437"/>
      <c r="AK32" s="437"/>
    </row>
    <row r="33" spans="7:37" ht="14.4">
      <c r="G33" s="804"/>
      <c r="H33" s="804"/>
      <c r="I33" s="804"/>
      <c r="J33" s="804"/>
      <c r="K33" s="804"/>
      <c r="L33" s="804"/>
      <c r="M33" s="804"/>
      <c r="O33" s="1079"/>
      <c r="P33" s="1079"/>
      <c r="Q33" s="244"/>
      <c r="R33" s="800"/>
      <c r="S33" s="800"/>
      <c r="T33" s="798"/>
      <c r="U33" s="163"/>
      <c r="V33" s="163"/>
      <c r="W33"/>
      <c r="AA33" s="437"/>
      <c r="AB33" s="459" t="e">
        <v>#REF!</v>
      </c>
      <c r="AC33" s="459" t="e">
        <v>#REF!</v>
      </c>
      <c r="AD33" s="437"/>
      <c r="AE33" s="437"/>
      <c r="AF33" s="437"/>
      <c r="AG33" s="437"/>
      <c r="AH33" s="437"/>
      <c r="AI33" s="437"/>
      <c r="AJ33" s="437"/>
      <c r="AK33" s="437"/>
    </row>
    <row r="34" spans="7:37" ht="14.4">
      <c r="G34" s="804"/>
      <c r="H34" s="806" t="str">
        <f t="shared" ref="H34:H52" si="10">AA40</f>
        <v>Banking</v>
      </c>
      <c r="I34" s="804"/>
      <c r="J34" s="804"/>
      <c r="K34" s="804"/>
      <c r="L34" s="804"/>
      <c r="M34" s="804"/>
      <c r="O34" s="783">
        <f t="shared" ref="O34:O52" si="11">AB40/1000</f>
        <v>114736.686869998</v>
      </c>
      <c r="P34" s="783">
        <f t="shared" ref="P34:P52" si="12">AC40/1000</f>
        <v>114605.33735999998</v>
      </c>
      <c r="Q34" s="783">
        <f t="shared" ref="Q34:Q52" si="13">AD40/1000</f>
        <v>131.34950999802351</v>
      </c>
      <c r="R34" s="791">
        <f t="shared" ref="R34:R52" si="14">AE40</f>
        <v>6.1337379406804608E-2</v>
      </c>
      <c r="S34" s="791">
        <f t="shared" ref="S34:S52" si="15">AF40</f>
        <v>5.9498814595144327E-2</v>
      </c>
      <c r="T34" s="798"/>
      <c r="U34" s="163"/>
      <c r="V34" s="163"/>
      <c r="W34"/>
      <c r="AA34" s="437"/>
      <c r="AB34" s="437"/>
      <c r="AC34" s="437"/>
      <c r="AD34" s="437"/>
      <c r="AE34" s="437"/>
      <c r="AF34" s="437"/>
      <c r="AG34" s="437"/>
      <c r="AH34" s="1096">
        <v>-3.6699767112731934</v>
      </c>
      <c r="AI34" s="437" t="s">
        <v>790</v>
      </c>
      <c r="AJ34" s="437"/>
      <c r="AK34" s="437"/>
    </row>
    <row r="35" spans="7:37" ht="14.4">
      <c r="G35" s="804"/>
      <c r="H35" s="806" t="str">
        <f t="shared" si="10"/>
        <v>Basic Industry</v>
      </c>
      <c r="I35" s="804"/>
      <c r="J35" s="804"/>
      <c r="K35" s="804"/>
      <c r="L35" s="804"/>
      <c r="M35" s="804"/>
      <c r="O35" s="785">
        <f t="shared" si="11"/>
        <v>68881.637460000013</v>
      </c>
      <c r="P35" s="785">
        <f t="shared" si="12"/>
        <v>73804.824319999985</v>
      </c>
      <c r="Q35" s="785">
        <f t="shared" si="13"/>
        <v>-4923.1868599999698</v>
      </c>
      <c r="R35" s="791">
        <f t="shared" si="14"/>
        <v>3.6823611055051018E-2</v>
      </c>
      <c r="S35" s="791">
        <f t="shared" si="15"/>
        <v>3.8316710718706432E-2</v>
      </c>
      <c r="T35" s="798"/>
      <c r="U35" s="163"/>
      <c r="V35" s="163"/>
      <c r="W35"/>
      <c r="AA35" s="437"/>
      <c r="AB35" s="437"/>
      <c r="AC35" s="460"/>
      <c r="AD35" s="437"/>
      <c r="AE35" s="437"/>
      <c r="AF35" s="437"/>
      <c r="AG35" s="437"/>
      <c r="AH35" s="437"/>
      <c r="AI35" s="437"/>
      <c r="AJ35" s="437"/>
      <c r="AK35" s="437"/>
    </row>
    <row r="36" spans="7:37" ht="14.4">
      <c r="G36" s="804"/>
      <c r="H36" s="806" t="str">
        <f t="shared" si="10"/>
        <v xml:space="preserve">Brokerage </v>
      </c>
      <c r="I36" s="804"/>
      <c r="J36" s="804"/>
      <c r="K36" s="804"/>
      <c r="L36" s="804"/>
      <c r="M36" s="804"/>
      <c r="O36" s="785">
        <f t="shared" si="11"/>
        <v>65421.064849998998</v>
      </c>
      <c r="P36" s="785">
        <f t="shared" si="12"/>
        <v>67574.142199999987</v>
      </c>
      <c r="Q36" s="785">
        <f t="shared" si="13"/>
        <v>-2153.0773500009923</v>
      </c>
      <c r="R36" s="791">
        <f t="shared" si="14"/>
        <v>3.4973614676953299E-2</v>
      </c>
      <c r="S36" s="791">
        <f t="shared" si="15"/>
        <v>3.5081973063385417E-2</v>
      </c>
      <c r="T36" s="798"/>
      <c r="U36" s="163"/>
      <c r="V36" s="163"/>
      <c r="W36"/>
      <c r="AA36" s="461" t="s">
        <v>341</v>
      </c>
      <c r="AB36" s="461" t="s">
        <v>371</v>
      </c>
      <c r="AC36" s="437"/>
      <c r="AD36" s="437"/>
      <c r="AE36" s="437"/>
      <c r="AF36" s="437"/>
      <c r="AG36" s="437"/>
      <c r="AH36" s="437"/>
      <c r="AI36" s="437"/>
      <c r="AJ36" s="437"/>
      <c r="AK36" s="437"/>
    </row>
    <row r="37" spans="7:37" ht="14.4">
      <c r="G37" s="804"/>
      <c r="H37" s="806" t="str">
        <f t="shared" si="10"/>
        <v>Capital Goods</v>
      </c>
      <c r="I37" s="804"/>
      <c r="J37" s="804"/>
      <c r="K37" s="804"/>
      <c r="L37" s="804"/>
      <c r="M37" s="804"/>
      <c r="O37" s="785">
        <f t="shared" si="11"/>
        <v>123507.173499999</v>
      </c>
      <c r="P37" s="785">
        <f t="shared" si="12"/>
        <v>125574.37268</v>
      </c>
      <c r="Q37" s="785">
        <f t="shared" si="13"/>
        <v>-2067.1991800010055</v>
      </c>
      <c r="R37" s="791">
        <f t="shared" si="14"/>
        <v>6.6026016325667458E-2</v>
      </c>
      <c r="S37" s="791">
        <f t="shared" si="15"/>
        <v>6.5193528417609461E-2</v>
      </c>
      <c r="T37" s="798"/>
      <c r="U37" s="163"/>
      <c r="V37" s="163"/>
      <c r="W37"/>
      <c r="AA37" s="437"/>
      <c r="AB37" s="437"/>
      <c r="AC37" s="437"/>
      <c r="AD37" s="437"/>
      <c r="AE37" s="437"/>
      <c r="AF37" s="437"/>
      <c r="AG37" s="437"/>
      <c r="AH37" s="437"/>
      <c r="AI37" s="437"/>
      <c r="AJ37" s="437"/>
      <c r="AK37" s="437"/>
    </row>
    <row r="38" spans="7:37" ht="14.4">
      <c r="G38" s="804"/>
      <c r="H38" s="806" t="str">
        <f t="shared" si="10"/>
        <v>Communications</v>
      </c>
      <c r="I38" s="804"/>
      <c r="J38" s="804"/>
      <c r="K38" s="804"/>
      <c r="L38" s="804"/>
      <c r="M38" s="804"/>
      <c r="O38" s="785">
        <f t="shared" si="11"/>
        <v>76231.704270000017</v>
      </c>
      <c r="P38" s="785">
        <f t="shared" si="12"/>
        <v>77961.647870000001</v>
      </c>
      <c r="Q38" s="785">
        <f t="shared" si="13"/>
        <v>-1729.9435999999941</v>
      </c>
      <c r="R38" s="791">
        <f t="shared" si="14"/>
        <v>4.0752902103006305E-2</v>
      </c>
      <c r="S38" s="791">
        <f t="shared" si="15"/>
        <v>4.0474778391674203E-2</v>
      </c>
      <c r="T38" s="798"/>
      <c r="U38" s="163"/>
      <c r="V38" s="163"/>
      <c r="W38"/>
      <c r="AA38" s="435"/>
      <c r="AB38" s="435" t="s">
        <v>340</v>
      </c>
      <c r="AC38" s="436"/>
      <c r="AD38" s="436"/>
      <c r="AE38" s="436"/>
      <c r="AF38" s="438"/>
      <c r="AG38" s="437"/>
      <c r="AH38" s="437"/>
      <c r="AI38" s="437"/>
      <c r="AJ38" s="437"/>
      <c r="AK38" s="437"/>
    </row>
    <row r="39" spans="7:37" ht="14.4">
      <c r="G39" s="804"/>
      <c r="H39" s="806" t="str">
        <f t="shared" si="10"/>
        <v>Consumer Cyclical</v>
      </c>
      <c r="I39" s="804"/>
      <c r="J39" s="804"/>
      <c r="K39" s="804"/>
      <c r="L39" s="804"/>
      <c r="M39" s="804"/>
      <c r="O39" s="785">
        <f t="shared" si="11"/>
        <v>142018.638979999</v>
      </c>
      <c r="P39" s="785">
        <f t="shared" si="12"/>
        <v>146473.65238000007</v>
      </c>
      <c r="Q39" s="785">
        <f t="shared" si="13"/>
        <v>-4455.0134000010785</v>
      </c>
      <c r="R39" s="791">
        <f t="shared" si="14"/>
        <v>7.5922108085831649E-2</v>
      </c>
      <c r="S39" s="791">
        <f t="shared" si="15"/>
        <v>7.6043654569555794E-2</v>
      </c>
      <c r="T39" s="798"/>
      <c r="U39" s="163"/>
      <c r="V39" s="163"/>
      <c r="W39"/>
      <c r="AA39" s="435" t="s">
        <v>372</v>
      </c>
      <c r="AB39" s="435" t="s">
        <v>342</v>
      </c>
      <c r="AC39" s="462" t="s">
        <v>343</v>
      </c>
      <c r="AD39" s="462" t="s">
        <v>344</v>
      </c>
      <c r="AE39" s="462" t="s">
        <v>345</v>
      </c>
      <c r="AF39" s="442" t="s">
        <v>346</v>
      </c>
      <c r="AG39" s="437"/>
      <c r="AH39" s="463"/>
      <c r="AI39" s="463"/>
      <c r="AJ39" s="463"/>
      <c r="AK39" s="437"/>
    </row>
    <row r="40" spans="7:37" ht="14.4">
      <c r="G40" s="804"/>
      <c r="H40" s="806" t="str">
        <f t="shared" si="10"/>
        <v>Consumer Non Cyclical</v>
      </c>
      <c r="I40" s="804"/>
      <c r="J40" s="804"/>
      <c r="K40" s="804"/>
      <c r="L40" s="804"/>
      <c r="M40" s="804"/>
      <c r="O40" s="785">
        <f t="shared" si="11"/>
        <v>186894.29971999899</v>
      </c>
      <c r="P40" s="785">
        <f t="shared" si="12"/>
        <v>196900.30825999999</v>
      </c>
      <c r="Q40" s="785">
        <f t="shared" si="13"/>
        <v>-10006.008540001005</v>
      </c>
      <c r="R40" s="791">
        <f t="shared" si="14"/>
        <v>9.9912302539147166E-2</v>
      </c>
      <c r="S40" s="791">
        <f t="shared" si="15"/>
        <v>0.10222329260362563</v>
      </c>
      <c r="T40" s="798"/>
      <c r="U40" s="163"/>
      <c r="V40" s="163"/>
      <c r="W40"/>
      <c r="AA40" s="435" t="s">
        <v>377</v>
      </c>
      <c r="AB40" s="464">
        <v>114736686.86999799</v>
      </c>
      <c r="AC40" s="465">
        <v>114605337.35999997</v>
      </c>
      <c r="AD40" s="465">
        <v>131349.50999802351</v>
      </c>
      <c r="AE40" s="466">
        <v>6.1337379406804608E-2</v>
      </c>
      <c r="AF40" s="467">
        <v>5.9498814595144327E-2</v>
      </c>
      <c r="AG40" s="437"/>
      <c r="AH40" s="463"/>
      <c r="AI40" s="463"/>
      <c r="AJ40" s="463"/>
      <c r="AK40" s="437"/>
    </row>
    <row r="41" spans="7:37" ht="14.4">
      <c r="G41" s="804"/>
      <c r="H41" s="806" t="str">
        <f t="shared" si="10"/>
        <v>Electric</v>
      </c>
      <c r="I41" s="804"/>
      <c r="J41" s="804"/>
      <c r="K41" s="804"/>
      <c r="L41" s="804"/>
      <c r="M41" s="804"/>
      <c r="O41" s="785">
        <f t="shared" si="11"/>
        <v>148215.39562000002</v>
      </c>
      <c r="P41" s="785">
        <f t="shared" si="12"/>
        <v>151357.32084999999</v>
      </c>
      <c r="Q41" s="785">
        <f t="shared" si="13"/>
        <v>-3141.9252299999594</v>
      </c>
      <c r="R41" s="791">
        <f t="shared" si="14"/>
        <v>7.9234848095049812E-2</v>
      </c>
      <c r="S41" s="791">
        <f t="shared" si="15"/>
        <v>7.8579073002363387E-2</v>
      </c>
      <c r="T41" s="798"/>
      <c r="U41" s="163"/>
      <c r="V41" s="163"/>
      <c r="W41"/>
      <c r="AA41" s="451" t="s">
        <v>380</v>
      </c>
      <c r="AB41" s="468">
        <v>68881637.460000008</v>
      </c>
      <c r="AC41" s="463">
        <v>73804824.319999978</v>
      </c>
      <c r="AD41" s="463">
        <v>-4923186.8599999696</v>
      </c>
      <c r="AE41" s="469">
        <v>3.6823611055051018E-2</v>
      </c>
      <c r="AF41" s="470">
        <v>3.8316710718706432E-2</v>
      </c>
      <c r="AG41" s="437"/>
      <c r="AH41" s="463"/>
      <c r="AI41" s="463"/>
      <c r="AJ41" s="463"/>
      <c r="AK41" s="437"/>
    </row>
    <row r="42" spans="7:37" ht="14.4">
      <c r="G42" s="804"/>
      <c r="H42" s="806" t="str">
        <f t="shared" si="10"/>
        <v>Energy</v>
      </c>
      <c r="I42" s="804"/>
      <c r="J42" s="804"/>
      <c r="K42" s="804"/>
      <c r="L42" s="804"/>
      <c r="M42" s="804"/>
      <c r="O42" s="785">
        <f t="shared" si="11"/>
        <v>252786.19974999895</v>
      </c>
      <c r="P42" s="785">
        <f t="shared" si="12"/>
        <v>256796.68992000006</v>
      </c>
      <c r="Q42" s="785">
        <f t="shared" si="13"/>
        <v>-4010.4901700011192</v>
      </c>
      <c r="R42" s="791">
        <f t="shared" si="14"/>
        <v>0.13513762220132905</v>
      </c>
      <c r="S42" s="791">
        <f t="shared" si="15"/>
        <v>0.13331925889456547</v>
      </c>
      <c r="T42" s="798"/>
      <c r="U42" s="163"/>
      <c r="V42" s="163"/>
      <c r="W42"/>
      <c r="AA42" s="1100" t="s">
        <v>385</v>
      </c>
      <c r="AB42" s="468">
        <v>65421064.849998996</v>
      </c>
      <c r="AC42" s="463">
        <v>67574142.199999988</v>
      </c>
      <c r="AD42" s="463">
        <v>-2153077.3500009924</v>
      </c>
      <c r="AE42" s="469">
        <v>3.4973614676953299E-2</v>
      </c>
      <c r="AF42" s="470">
        <v>3.5081973063385417E-2</v>
      </c>
      <c r="AG42" s="437"/>
      <c r="AH42" s="463"/>
      <c r="AI42" s="463"/>
      <c r="AJ42" s="463"/>
      <c r="AK42" s="437"/>
    </row>
    <row r="43" spans="7:37" ht="14.4">
      <c r="G43" s="804"/>
      <c r="H43" s="806" t="str">
        <f t="shared" si="10"/>
        <v>Finance Companies</v>
      </c>
      <c r="I43" s="804"/>
      <c r="J43" s="804"/>
      <c r="K43" s="804"/>
      <c r="L43" s="804"/>
      <c r="M43" s="804"/>
      <c r="O43" s="785">
        <f t="shared" si="11"/>
        <v>94828.436070000011</v>
      </c>
      <c r="P43" s="785">
        <f t="shared" si="12"/>
        <v>95728.713879999996</v>
      </c>
      <c r="Q43" s="785">
        <f t="shared" si="13"/>
        <v>-900.27780999998754</v>
      </c>
      <c r="R43" s="791">
        <f t="shared" si="14"/>
        <v>5.0694576603644674E-2</v>
      </c>
      <c r="S43" s="791">
        <f t="shared" si="15"/>
        <v>4.969877607607559E-2</v>
      </c>
      <c r="T43" s="798"/>
      <c r="U43" s="163"/>
      <c r="V43" s="163"/>
      <c r="W43"/>
      <c r="AA43" s="451" t="s">
        <v>379</v>
      </c>
      <c r="AB43" s="468">
        <v>123507173.499999</v>
      </c>
      <c r="AC43" s="463">
        <v>125574372.68000001</v>
      </c>
      <c r="AD43" s="463">
        <v>-2067199.1800010055</v>
      </c>
      <c r="AE43" s="469">
        <v>6.6026016325667458E-2</v>
      </c>
      <c r="AF43" s="470">
        <v>6.5193528417609461E-2</v>
      </c>
      <c r="AG43" s="437"/>
      <c r="AH43" s="463"/>
      <c r="AI43" s="463"/>
      <c r="AJ43" s="463"/>
      <c r="AK43" s="437"/>
    </row>
    <row r="44" spans="7:37" ht="14.4">
      <c r="G44" s="804"/>
      <c r="H44" s="806" t="str">
        <f t="shared" si="10"/>
        <v>Financial Other</v>
      </c>
      <c r="I44" s="804"/>
      <c r="J44" s="804"/>
      <c r="K44" s="804"/>
      <c r="L44" s="804"/>
      <c r="M44" s="804"/>
      <c r="O44" s="785">
        <f t="shared" si="11"/>
        <v>3227.4874100000002</v>
      </c>
      <c r="P44" s="785">
        <f t="shared" si="12"/>
        <v>3275.9504400000001</v>
      </c>
      <c r="Q44" s="785">
        <f t="shared" si="13"/>
        <v>-48.463029999999797</v>
      </c>
      <c r="R44" s="791">
        <f t="shared" si="14"/>
        <v>1.7253907638291788E-3</v>
      </c>
      <c r="S44" s="791">
        <f t="shared" si="15"/>
        <v>1.700751224527799E-3</v>
      </c>
      <c r="T44" s="798"/>
      <c r="U44" s="163"/>
      <c r="V44" s="163"/>
      <c r="W44"/>
      <c r="AA44" s="451" t="s">
        <v>384</v>
      </c>
      <c r="AB44" s="468">
        <v>76231704.270000011</v>
      </c>
      <c r="AC44" s="463">
        <v>77961647.870000005</v>
      </c>
      <c r="AD44" s="463">
        <v>-1729943.599999994</v>
      </c>
      <c r="AE44" s="469">
        <v>4.0752902103006305E-2</v>
      </c>
      <c r="AF44" s="470">
        <v>4.0474778391674203E-2</v>
      </c>
      <c r="AG44" s="437"/>
      <c r="AH44" s="463"/>
      <c r="AI44" s="463"/>
      <c r="AJ44" s="463"/>
      <c r="AK44" s="437"/>
    </row>
    <row r="45" spans="7:37" ht="14.4">
      <c r="G45" s="804"/>
      <c r="H45" s="806" t="str">
        <f t="shared" si="10"/>
        <v>Industrial Other</v>
      </c>
      <c r="I45" s="804"/>
      <c r="J45" s="804"/>
      <c r="K45" s="804"/>
      <c r="L45" s="804"/>
      <c r="M45" s="804"/>
      <c r="O45" s="785">
        <f t="shared" si="11"/>
        <v>6167.4092699999992</v>
      </c>
      <c r="P45" s="785">
        <f t="shared" si="12"/>
        <v>6712.8622899999991</v>
      </c>
      <c r="Q45" s="785">
        <f t="shared" si="13"/>
        <v>-545.45301999999958</v>
      </c>
      <c r="R45" s="791">
        <f t="shared" si="14"/>
        <v>3.2970511234968556E-3</v>
      </c>
      <c r="S45" s="791">
        <f t="shared" si="15"/>
        <v>3.485067606762691E-3</v>
      </c>
      <c r="T45" s="798"/>
      <c r="U45" s="163"/>
      <c r="V45" s="163"/>
      <c r="W45"/>
      <c r="AA45" s="451" t="s">
        <v>376</v>
      </c>
      <c r="AB45" s="468">
        <v>142018638.97999901</v>
      </c>
      <c r="AC45" s="463">
        <v>146473652.38000008</v>
      </c>
      <c r="AD45" s="463">
        <v>-4455013.4000010788</v>
      </c>
      <c r="AE45" s="469">
        <v>7.5922108085831649E-2</v>
      </c>
      <c r="AF45" s="470">
        <v>7.6043654569555794E-2</v>
      </c>
      <c r="AG45" s="437"/>
      <c r="AH45" s="463"/>
      <c r="AI45" s="463"/>
      <c r="AJ45" s="463"/>
      <c r="AK45" s="437"/>
    </row>
    <row r="46" spans="7:37" ht="14.4">
      <c r="G46" s="807"/>
      <c r="H46" s="806" t="str">
        <f t="shared" si="10"/>
        <v>Insurance</v>
      </c>
      <c r="I46" s="804"/>
      <c r="J46" s="804"/>
      <c r="K46" s="804"/>
      <c r="L46" s="804"/>
      <c r="M46" s="804"/>
      <c r="O46" s="785">
        <f t="shared" si="11"/>
        <v>264683.290879999</v>
      </c>
      <c r="P46" s="785">
        <f t="shared" si="12"/>
        <v>272958.98585999996</v>
      </c>
      <c r="Q46" s="785">
        <f t="shared" si="13"/>
        <v>-8275.6949800009425</v>
      </c>
      <c r="R46" s="791">
        <f t="shared" si="14"/>
        <v>0.14149771863068622</v>
      </c>
      <c r="S46" s="791">
        <f t="shared" si="15"/>
        <v>0.14171011984151419</v>
      </c>
      <c r="T46" s="798"/>
      <c r="U46" s="163"/>
      <c r="V46" s="163"/>
      <c r="W46"/>
      <c r="AA46" s="451" t="s">
        <v>899</v>
      </c>
      <c r="AB46" s="468">
        <v>186894299.71999899</v>
      </c>
      <c r="AC46" s="463">
        <v>196900308.25999999</v>
      </c>
      <c r="AD46" s="463">
        <v>-10006008.540001005</v>
      </c>
      <c r="AE46" s="469">
        <v>9.9912302539147166E-2</v>
      </c>
      <c r="AF46" s="470">
        <v>0.10222329260362563</v>
      </c>
      <c r="AG46" s="437"/>
      <c r="AH46" s="463"/>
      <c r="AI46" s="463"/>
      <c r="AJ46" s="463"/>
      <c r="AK46" s="437"/>
    </row>
    <row r="47" spans="7:37" ht="14.4">
      <c r="G47" s="804"/>
      <c r="H47" s="806" t="str">
        <f t="shared" si="10"/>
        <v>Natural Gas</v>
      </c>
      <c r="I47" s="804"/>
      <c r="J47" s="804"/>
      <c r="K47" s="804"/>
      <c r="L47" s="804"/>
      <c r="M47" s="804"/>
      <c r="O47" s="785">
        <f t="shared" si="11"/>
        <v>23170.459469999994</v>
      </c>
      <c r="P47" s="785">
        <f t="shared" si="12"/>
        <v>23235.432290000001</v>
      </c>
      <c r="Q47" s="785">
        <f t="shared" si="13"/>
        <v>-64.97282000000402</v>
      </c>
      <c r="R47" s="791">
        <f t="shared" si="14"/>
        <v>1.2386755294334771E-2</v>
      </c>
      <c r="S47" s="791">
        <f t="shared" si="15"/>
        <v>1.2062969401835719E-2</v>
      </c>
      <c r="T47" s="798"/>
      <c r="U47" s="163"/>
      <c r="V47" s="163"/>
      <c r="W47"/>
      <c r="AA47" s="451" t="s">
        <v>381</v>
      </c>
      <c r="AB47" s="468">
        <v>148215395.62000003</v>
      </c>
      <c r="AC47" s="463">
        <v>151357320.84999999</v>
      </c>
      <c r="AD47" s="463">
        <v>-3141925.2299999595</v>
      </c>
      <c r="AE47" s="469">
        <v>7.9234848095049812E-2</v>
      </c>
      <c r="AF47" s="470">
        <v>7.8579073002363387E-2</v>
      </c>
      <c r="AG47" s="437"/>
      <c r="AH47" s="463"/>
      <c r="AI47" s="463"/>
      <c r="AJ47" s="463"/>
      <c r="AK47" s="437"/>
    </row>
    <row r="48" spans="7:37" ht="14.4">
      <c r="G48" s="804"/>
      <c r="H48" s="806" t="str">
        <f t="shared" si="10"/>
        <v>Owned No Guarantee</v>
      </c>
      <c r="I48" s="804"/>
      <c r="J48" s="804"/>
      <c r="K48" s="804"/>
      <c r="L48" s="804"/>
      <c r="M48" s="804"/>
      <c r="O48" s="785">
        <f t="shared" si="11"/>
        <v>2098.5462000000002</v>
      </c>
      <c r="P48" s="785">
        <f t="shared" si="12"/>
        <v>2325</v>
      </c>
      <c r="Q48" s="785">
        <f t="shared" si="13"/>
        <v>-226.4537999999998</v>
      </c>
      <c r="R48" s="791">
        <f t="shared" si="14"/>
        <v>1.1218671898549158E-3</v>
      </c>
      <c r="S48" s="791">
        <f t="shared" si="15"/>
        <v>1.2070532413265486E-3</v>
      </c>
      <c r="T48" s="798"/>
      <c r="U48" s="163"/>
      <c r="V48" s="163"/>
      <c r="W48"/>
      <c r="AA48" s="451" t="s">
        <v>374</v>
      </c>
      <c r="AB48" s="468">
        <v>252786199.74999896</v>
      </c>
      <c r="AC48" s="463">
        <v>256796689.92000008</v>
      </c>
      <c r="AD48" s="463">
        <v>-4010490.1700011194</v>
      </c>
      <c r="AE48" s="469">
        <v>0.13513762220132905</v>
      </c>
      <c r="AF48" s="470">
        <v>0.13331925889456547</v>
      </c>
      <c r="AG48" s="437"/>
      <c r="AH48" s="463"/>
      <c r="AI48" s="463"/>
      <c r="AJ48" s="463"/>
      <c r="AK48" s="437"/>
    </row>
    <row r="49" spans="7:37" ht="14.4">
      <c r="G49" s="804"/>
      <c r="H49" s="806" t="str">
        <f t="shared" si="10"/>
        <v>Reits</v>
      </c>
      <c r="I49" s="804"/>
      <c r="J49" s="804"/>
      <c r="K49" s="804"/>
      <c r="L49" s="804"/>
      <c r="M49" s="804"/>
      <c r="O49" s="785">
        <f t="shared" si="11"/>
        <v>124681.81786000001</v>
      </c>
      <c r="P49" s="785">
        <f t="shared" si="12"/>
        <v>131212.11011000001</v>
      </c>
      <c r="Q49" s="785">
        <f t="shared" si="13"/>
        <v>-6530.292249999985</v>
      </c>
      <c r="R49" s="791">
        <f t="shared" si="14"/>
        <v>6.6653972463699238E-2</v>
      </c>
      <c r="S49" s="791">
        <f t="shared" si="15"/>
        <v>6.8120431315944724E-2</v>
      </c>
      <c r="T49" s="798"/>
      <c r="U49" s="163"/>
      <c r="V49" s="163"/>
      <c r="W49"/>
      <c r="AA49" s="451" t="s">
        <v>382</v>
      </c>
      <c r="AB49" s="468">
        <v>94828436.070000008</v>
      </c>
      <c r="AC49" s="463">
        <v>95728713.879999995</v>
      </c>
      <c r="AD49" s="463">
        <v>-900277.80999998748</v>
      </c>
      <c r="AE49" s="469">
        <v>5.0694576603644674E-2</v>
      </c>
      <c r="AF49" s="470">
        <v>4.969877607607559E-2</v>
      </c>
      <c r="AG49" s="437"/>
      <c r="AH49" s="463"/>
      <c r="AI49" s="463"/>
      <c r="AJ49" s="463"/>
      <c r="AK49" s="437"/>
    </row>
    <row r="50" spans="7:37" ht="14.4">
      <c r="G50" s="804"/>
      <c r="H50" s="806" t="str">
        <f t="shared" si="10"/>
        <v>Technology</v>
      </c>
      <c r="I50" s="804"/>
      <c r="J50" s="804"/>
      <c r="K50" s="804"/>
      <c r="L50" s="804"/>
      <c r="M50" s="804"/>
      <c r="O50" s="785">
        <f t="shared" si="11"/>
        <v>115950.58467999999</v>
      </c>
      <c r="P50" s="785">
        <f t="shared" si="12"/>
        <v>120742.37424999994</v>
      </c>
      <c r="Q50" s="785">
        <f t="shared" si="13"/>
        <v>-4791.7895699999481</v>
      </c>
      <c r="R50" s="791">
        <f t="shared" si="14"/>
        <v>6.1986320147245762E-2</v>
      </c>
      <c r="S50" s="791">
        <f t="shared" si="15"/>
        <v>6.2684935141473386E-2</v>
      </c>
      <c r="T50" s="798"/>
      <c r="U50" s="163"/>
      <c r="V50" s="163"/>
      <c r="W50"/>
      <c r="AA50" s="451" t="s">
        <v>386</v>
      </c>
      <c r="AB50" s="468">
        <v>3227487.41</v>
      </c>
      <c r="AC50" s="463">
        <v>3275950.44</v>
      </c>
      <c r="AD50" s="463">
        <v>-48463.029999999795</v>
      </c>
      <c r="AE50" s="469">
        <v>1.7253907638291788E-3</v>
      </c>
      <c r="AF50" s="470">
        <v>1.700751224527799E-3</v>
      </c>
      <c r="AG50" s="437"/>
      <c r="AH50" s="463"/>
      <c r="AI50" s="463"/>
      <c r="AJ50" s="463"/>
      <c r="AK50" s="437"/>
    </row>
    <row r="51" spans="7:37" ht="14.4">
      <c r="G51" s="804"/>
      <c r="H51" s="806" t="str">
        <f t="shared" si="10"/>
        <v>Transportation</v>
      </c>
      <c r="I51" s="810"/>
      <c r="J51" s="804"/>
      <c r="K51" s="804"/>
      <c r="L51" s="804"/>
      <c r="M51" s="804"/>
      <c r="O51" s="785">
        <f t="shared" si="11"/>
        <v>53157.10573000001</v>
      </c>
      <c r="P51" s="785">
        <f t="shared" si="12"/>
        <v>54545.69298</v>
      </c>
      <c r="Q51" s="785">
        <f t="shared" si="13"/>
        <v>-1388.587249999985</v>
      </c>
      <c r="R51" s="791">
        <f t="shared" si="14"/>
        <v>2.8417393348850625E-2</v>
      </c>
      <c r="S51" s="791">
        <f t="shared" si="15"/>
        <v>2.8318088392220112E-2</v>
      </c>
      <c r="T51" s="798"/>
      <c r="U51" s="163"/>
      <c r="V51" s="163"/>
      <c r="W51"/>
      <c r="AA51" s="451" t="s">
        <v>388</v>
      </c>
      <c r="AB51" s="468">
        <v>6167409.2699999996</v>
      </c>
      <c r="AC51" s="463">
        <v>6712862.2899999991</v>
      </c>
      <c r="AD51" s="463">
        <v>-545453.01999999955</v>
      </c>
      <c r="AE51" s="469">
        <v>3.2970511234968556E-3</v>
      </c>
      <c r="AF51" s="470">
        <v>3.485067606762691E-3</v>
      </c>
      <c r="AG51" s="437"/>
      <c r="AH51" s="463"/>
      <c r="AI51" s="463"/>
      <c r="AJ51" s="463"/>
      <c r="AK51" s="437"/>
    </row>
    <row r="52" spans="7:37" ht="14.4">
      <c r="G52" s="804"/>
      <c r="H52" s="806" t="str">
        <f t="shared" si="10"/>
        <v>Utility Other</v>
      </c>
      <c r="I52" s="810"/>
      <c r="J52" s="804"/>
      <c r="K52" s="804"/>
      <c r="L52" s="804"/>
      <c r="M52" s="804"/>
      <c r="O52" s="785">
        <f t="shared" si="11"/>
        <v>3925.5128</v>
      </c>
      <c r="P52" s="785">
        <f t="shared" si="12"/>
        <v>4393.0805700000001</v>
      </c>
      <c r="Q52" s="785">
        <f t="shared" si="13"/>
        <v>-467.56777000000051</v>
      </c>
      <c r="R52" s="791">
        <f t="shared" si="14"/>
        <v>2.0985499455172833E-3</v>
      </c>
      <c r="S52" s="791">
        <f t="shared" si="15"/>
        <v>2.2807235016891105E-3</v>
      </c>
      <c r="T52" s="798"/>
      <c r="U52" s="163"/>
      <c r="V52" s="163"/>
      <c r="W52"/>
      <c r="AA52" s="451" t="s">
        <v>373</v>
      </c>
      <c r="AB52" s="468">
        <v>264683290.87999901</v>
      </c>
      <c r="AC52" s="463">
        <v>272958985.85999995</v>
      </c>
      <c r="AD52" s="463">
        <v>-8275694.9800009429</v>
      </c>
      <c r="AE52" s="469">
        <v>0.14149771863068622</v>
      </c>
      <c r="AF52" s="470">
        <v>0.14171011984151419</v>
      </c>
      <c r="AG52" s="437"/>
      <c r="AH52" s="463"/>
      <c r="AI52" s="463"/>
      <c r="AJ52" s="463"/>
      <c r="AK52" s="437"/>
    </row>
    <row r="53" spans="7:37" ht="15" thickBot="1">
      <c r="G53" s="804"/>
      <c r="H53" s="804"/>
      <c r="I53" s="804"/>
      <c r="J53" s="804"/>
      <c r="K53" s="804"/>
      <c r="L53" s="804"/>
      <c r="M53" s="807" t="s">
        <v>931</v>
      </c>
      <c r="O53" s="784">
        <f>SUM(O34:O52)</f>
        <v>1870583.4513899919</v>
      </c>
      <c r="P53" s="784">
        <f>SUM(P34:P52)</f>
        <v>1926178.4985099998</v>
      </c>
      <c r="Q53" s="784">
        <f>SUM(Q34:Q52)</f>
        <v>-55595.047120007948</v>
      </c>
      <c r="R53" s="797">
        <f>SUM(R34:R52)</f>
        <v>0.99999999999999989</v>
      </c>
      <c r="S53" s="797">
        <f>SUM(S34:S52)</f>
        <v>0.99999999999999989</v>
      </c>
      <c r="T53" s="798"/>
      <c r="U53" s="245"/>
      <c r="V53" s="245"/>
      <c r="W53"/>
      <c r="AA53" s="451" t="s">
        <v>387</v>
      </c>
      <c r="AB53" s="468">
        <v>23170459.469999995</v>
      </c>
      <c r="AC53" s="463">
        <v>23235432.289999999</v>
      </c>
      <c r="AD53" s="463">
        <v>-64972.820000004023</v>
      </c>
      <c r="AE53" s="469">
        <v>1.2386755294334771E-2</v>
      </c>
      <c r="AF53" s="470">
        <v>1.2062969401835719E-2</v>
      </c>
      <c r="AG53" s="437"/>
      <c r="AH53" s="463"/>
      <c r="AI53" s="463"/>
      <c r="AJ53" s="463"/>
      <c r="AK53" s="437"/>
    </row>
    <row r="54" spans="7:37" ht="15" thickTop="1">
      <c r="G54" s="804"/>
      <c r="H54" s="804"/>
      <c r="I54" s="804"/>
      <c r="J54" s="804"/>
      <c r="K54" s="804"/>
      <c r="L54" s="804"/>
      <c r="M54" s="804"/>
      <c r="O54" s="218"/>
      <c r="P54" s="218"/>
      <c r="Q54" s="241"/>
      <c r="R54" s="798"/>
      <c r="S54" s="798"/>
      <c r="T54" s="798"/>
      <c r="U54" s="163"/>
      <c r="V54" s="163"/>
      <c r="W54"/>
      <c r="AA54" s="451" t="s">
        <v>390</v>
      </c>
      <c r="AB54" s="468">
        <v>2098546.2000000002</v>
      </c>
      <c r="AC54" s="463">
        <v>2325000</v>
      </c>
      <c r="AD54" s="463">
        <v>-226453.79999999981</v>
      </c>
      <c r="AE54" s="469">
        <v>1.1218671898549158E-3</v>
      </c>
      <c r="AF54" s="470">
        <v>1.2070532413265486E-3</v>
      </c>
      <c r="AG54" s="437"/>
      <c r="AH54" s="463"/>
      <c r="AI54" s="463"/>
      <c r="AJ54" s="463"/>
      <c r="AK54" s="437"/>
    </row>
    <row r="55" spans="7:37" ht="15.75" customHeight="1">
      <c r="G55" s="1175" t="s">
        <v>330</v>
      </c>
      <c r="H55" s="1175"/>
      <c r="I55" s="1175"/>
      <c r="J55" s="1175"/>
      <c r="K55" s="1175"/>
      <c r="L55" s="1175"/>
      <c r="M55" s="1175"/>
      <c r="O55" s="195"/>
      <c r="P55" s="195"/>
      <c r="Q55" s="246"/>
      <c r="R55" s="799"/>
      <c r="S55" s="799"/>
      <c r="T55" s="799"/>
      <c r="U55" s="195"/>
      <c r="V55" s="195"/>
      <c r="W55"/>
      <c r="X55" s="1174" t="s">
        <v>817</v>
      </c>
      <c r="AA55" s="451" t="s">
        <v>375</v>
      </c>
      <c r="AB55" s="468">
        <v>124681817.86000001</v>
      </c>
      <c r="AC55" s="463">
        <v>131212110.11</v>
      </c>
      <c r="AD55" s="463">
        <v>-6530292.2499999851</v>
      </c>
      <c r="AE55" s="469">
        <v>6.6653972463699238E-2</v>
      </c>
      <c r="AF55" s="470">
        <v>6.8120431315944724E-2</v>
      </c>
      <c r="AG55" s="437"/>
      <c r="AH55" s="463"/>
      <c r="AI55" s="1097" t="s">
        <v>896</v>
      </c>
      <c r="AJ55" s="463"/>
      <c r="AK55" s="437"/>
    </row>
    <row r="56" spans="7:37" ht="14.4">
      <c r="G56" s="811"/>
      <c r="H56" s="811"/>
      <c r="I56" s="811"/>
      <c r="J56" s="811"/>
      <c r="K56" s="811"/>
      <c r="L56" s="811"/>
      <c r="M56" s="811"/>
      <c r="O56" s="163"/>
      <c r="P56" s="163"/>
      <c r="Q56" s="228"/>
      <c r="R56" s="798"/>
      <c r="S56" s="798"/>
      <c r="T56" s="798"/>
      <c r="U56" s="163"/>
      <c r="V56" s="163"/>
      <c r="W56"/>
      <c r="X56" s="1174"/>
      <c r="AA56" s="451" t="s">
        <v>378</v>
      </c>
      <c r="AB56" s="468">
        <v>115950584.67999999</v>
      </c>
      <c r="AC56" s="463">
        <v>120742374.24999994</v>
      </c>
      <c r="AD56" s="463">
        <v>-4791789.5699999481</v>
      </c>
      <c r="AE56" s="469">
        <v>6.1986320147245762E-2</v>
      </c>
      <c r="AF56" s="470">
        <v>6.2684935141473386E-2</v>
      </c>
      <c r="AG56" s="437"/>
      <c r="AH56" s="463"/>
      <c r="AI56" s="463"/>
      <c r="AJ56" s="463"/>
      <c r="AK56" s="437"/>
    </row>
    <row r="57" spans="7:37" ht="14.4">
      <c r="G57" s="807" t="s">
        <v>331</v>
      </c>
      <c r="H57" s="804"/>
      <c r="I57" s="804"/>
      <c r="J57" s="804"/>
      <c r="K57" s="804"/>
      <c r="L57" s="804"/>
      <c r="M57" s="804"/>
      <c r="O57" s="163"/>
      <c r="P57" s="163"/>
      <c r="Q57" s="228"/>
      <c r="R57" s="798"/>
      <c r="S57" s="798"/>
      <c r="T57" s="798"/>
      <c r="U57" s="163"/>
      <c r="V57" s="163"/>
      <c r="W57"/>
      <c r="X57" s="1174"/>
      <c r="AA57" s="451" t="s">
        <v>383</v>
      </c>
      <c r="AB57" s="468">
        <v>53157105.730000012</v>
      </c>
      <c r="AC57" s="463">
        <v>54545692.979999997</v>
      </c>
      <c r="AD57" s="463">
        <v>-1388587.2499999851</v>
      </c>
      <c r="AE57" s="469">
        <v>2.8417393348850625E-2</v>
      </c>
      <c r="AF57" s="470">
        <v>2.8318088392220112E-2</v>
      </c>
      <c r="AG57" s="437"/>
      <c r="AH57" s="437"/>
      <c r="AI57" s="437"/>
      <c r="AJ57" s="437"/>
      <c r="AK57" s="437"/>
    </row>
    <row r="58" spans="7:37" ht="14.4">
      <c r="G58" s="804"/>
      <c r="H58" s="804"/>
      <c r="I58" s="804" t="s">
        <v>332</v>
      </c>
      <c r="J58" s="804"/>
      <c r="K58" s="804"/>
      <c r="L58" s="804"/>
      <c r="M58" s="804"/>
      <c r="O58" s="1087">
        <v>493852.08561999502</v>
      </c>
      <c r="P58" s="1087">
        <v>495822.91036000015</v>
      </c>
      <c r="Q58" s="1087">
        <v>-1970.8247400051332</v>
      </c>
      <c r="R58" s="217">
        <v>0.14093719782111019</v>
      </c>
      <c r="S58" s="217">
        <v>0.13605302649101186</v>
      </c>
      <c r="T58" s="1090">
        <v>3.965077904571758E-2</v>
      </c>
      <c r="U58" s="247"/>
      <c r="V58" s="247"/>
      <c r="W58"/>
      <c r="X58" s="1174"/>
      <c r="AA58" s="451" t="s">
        <v>389</v>
      </c>
      <c r="AB58" s="468">
        <v>3925512.8</v>
      </c>
      <c r="AC58" s="463">
        <v>4393080.57</v>
      </c>
      <c r="AD58" s="463">
        <v>-467567.77000000048</v>
      </c>
      <c r="AE58" s="469">
        <v>2.0985499455172833E-3</v>
      </c>
      <c r="AF58" s="470">
        <v>2.2807235016891105E-3</v>
      </c>
      <c r="AG58" s="437"/>
      <c r="AH58" s="437"/>
      <c r="AI58" s="437"/>
      <c r="AJ58" s="437"/>
      <c r="AK58" s="437"/>
    </row>
    <row r="59" spans="7:37" ht="14.4">
      <c r="G59" s="804"/>
      <c r="H59" s="804"/>
      <c r="I59" s="804" t="s">
        <v>333</v>
      </c>
      <c r="J59" s="804"/>
      <c r="K59" s="804"/>
      <c r="L59" s="804"/>
      <c r="M59" s="804"/>
      <c r="O59" s="1089">
        <v>244513.295420001</v>
      </c>
      <c r="P59" s="1089">
        <v>247017.06879999995</v>
      </c>
      <c r="Q59" s="1078">
        <v>-2503.773379998951</v>
      </c>
      <c r="R59" s="217">
        <v>6.97800408056128E-2</v>
      </c>
      <c r="S59" s="217">
        <v>6.7781095030032573E-2</v>
      </c>
      <c r="T59" s="1090">
        <v>3.8559770507242144E-2</v>
      </c>
      <c r="U59" s="247"/>
      <c r="V59" s="247"/>
      <c r="W59"/>
      <c r="X59" s="1174"/>
      <c r="AA59" s="471" t="s">
        <v>365</v>
      </c>
      <c r="AB59" s="472">
        <v>1870583451.3899922</v>
      </c>
      <c r="AC59" s="473">
        <v>1926178498.51</v>
      </c>
      <c r="AD59" s="473">
        <v>-55595047.120007753</v>
      </c>
      <c r="AE59" s="474">
        <v>1</v>
      </c>
      <c r="AF59" s="475">
        <v>1</v>
      </c>
      <c r="AG59" s="437"/>
      <c r="AH59" s="476"/>
      <c r="AI59" s="476"/>
      <c r="AJ59" s="476"/>
      <c r="AK59" s="437"/>
    </row>
    <row r="60" spans="7:37" ht="14.4">
      <c r="G60" s="804"/>
      <c r="H60" s="804"/>
      <c r="I60" s="804" t="s">
        <v>334</v>
      </c>
      <c r="J60" s="804"/>
      <c r="K60" s="804"/>
      <c r="L60" s="804"/>
      <c r="M60" s="804"/>
      <c r="O60" s="1089">
        <v>862929.73760998691</v>
      </c>
      <c r="P60" s="1089">
        <v>895153.3800299993</v>
      </c>
      <c r="Q60" s="1078">
        <v>-32223.642420012387</v>
      </c>
      <c r="R60" s="217">
        <v>0.24626584087940792</v>
      </c>
      <c r="S60" s="217">
        <v>0.24562867907478084</v>
      </c>
      <c r="T60" s="1090">
        <v>4.1258444471143831E-2</v>
      </c>
      <c r="U60" s="247"/>
      <c r="V60" s="247"/>
      <c r="W60"/>
      <c r="X60" s="1174"/>
      <c r="AA60" s="476"/>
      <c r="AB60" s="477">
        <v>2.86102294921875E-6</v>
      </c>
      <c r="AC60" s="477">
        <v>-2.86102294921875E-6</v>
      </c>
      <c r="AD60" s="476" t="s">
        <v>391</v>
      </c>
      <c r="AE60" s="476"/>
      <c r="AF60" s="476"/>
      <c r="AG60" s="437"/>
      <c r="AH60" s="476"/>
      <c r="AI60" s="476"/>
      <c r="AJ60" s="476"/>
      <c r="AK60" s="437"/>
    </row>
    <row r="61" spans="7:37" ht="14.4">
      <c r="G61" s="804"/>
      <c r="H61" s="804"/>
      <c r="I61" s="804" t="s">
        <v>335</v>
      </c>
      <c r="J61" s="804"/>
      <c r="K61" s="804"/>
      <c r="L61" s="804"/>
      <c r="M61" s="804"/>
      <c r="O61" s="1089">
        <v>1140931.0345299968</v>
      </c>
      <c r="P61" s="1089">
        <v>1205084.9923600005</v>
      </c>
      <c r="Q61" s="1078">
        <v>-64153.957830003696</v>
      </c>
      <c r="R61" s="217">
        <v>0.32560280212632076</v>
      </c>
      <c r="S61" s="217">
        <v>0.33067342586173254</v>
      </c>
      <c r="T61" s="1090">
        <v>4.3695278260555755E-2</v>
      </c>
      <c r="U61" s="247"/>
      <c r="V61" s="247"/>
      <c r="W61"/>
      <c r="X61" s="1174"/>
    </row>
    <row r="62" spans="7:37" ht="14.4">
      <c r="G62" s="804"/>
      <c r="H62" s="804"/>
      <c r="I62" s="804" t="s">
        <v>336</v>
      </c>
      <c r="J62" s="804"/>
      <c r="K62" s="804"/>
      <c r="L62" s="804"/>
      <c r="M62" s="804"/>
      <c r="O62" s="1089">
        <v>761831.63464999583</v>
      </c>
      <c r="P62" s="1089">
        <v>801257.41332000075</v>
      </c>
      <c r="Q62" s="1098">
        <v>-39425.778670004918</v>
      </c>
      <c r="R62" s="217">
        <v>0.21741411836754831</v>
      </c>
      <c r="S62" s="217">
        <v>0.21986377354244221</v>
      </c>
      <c r="T62" s="1090">
        <v>5.3150243591943237E-2</v>
      </c>
      <c r="U62" s="248"/>
      <c r="V62" s="248"/>
      <c r="W62"/>
      <c r="X62" s="1174"/>
      <c r="AA62" s="551" t="s">
        <v>791</v>
      </c>
      <c r="AB62" s="551"/>
    </row>
    <row r="63" spans="7:37" ht="15" thickBot="1">
      <c r="G63" s="804"/>
      <c r="H63" s="804"/>
      <c r="I63" s="804"/>
      <c r="J63" s="804"/>
      <c r="K63" s="804"/>
      <c r="L63" s="804"/>
      <c r="M63" s="807" t="s">
        <v>325</v>
      </c>
      <c r="O63" s="1088">
        <v>3504057.7878299756</v>
      </c>
      <c r="P63" s="1088">
        <v>3644335.7648700005</v>
      </c>
      <c r="Q63" s="1099">
        <v>-140277.97704002494</v>
      </c>
      <c r="R63" s="1091">
        <v>1</v>
      </c>
      <c r="S63" s="1091">
        <v>1</v>
      </c>
      <c r="T63" s="1092">
        <v>4.4272741937370026E-2</v>
      </c>
      <c r="U63" s="249"/>
      <c r="V63" s="249"/>
      <c r="W63"/>
      <c r="X63" s="1174"/>
    </row>
    <row r="64" spans="7:37" ht="15" thickTop="1">
      <c r="G64" s="804"/>
      <c r="H64" s="804"/>
      <c r="I64" s="804"/>
      <c r="J64" s="804"/>
      <c r="K64" s="804"/>
      <c r="L64" s="804"/>
      <c r="M64" s="804"/>
      <c r="O64" s="218" t="e">
        <v>#REF!</v>
      </c>
      <c r="P64" s="218" t="e">
        <v>#REF!</v>
      </c>
      <c r="Q64" s="1084"/>
      <c r="R64" s="1084"/>
      <c r="S64" s="1084"/>
      <c r="T64" s="1084"/>
      <c r="U64" s="163"/>
      <c r="V64" s="163"/>
      <c r="W64"/>
      <c r="X64" s="1174"/>
    </row>
    <row r="65" spans="7:24" ht="14.4">
      <c r="G65" s="1175" t="s">
        <v>337</v>
      </c>
      <c r="H65" s="1175"/>
      <c r="I65" s="1175"/>
      <c r="J65" s="1175"/>
      <c r="K65" s="1175"/>
      <c r="L65" s="1175"/>
      <c r="M65" s="1175"/>
      <c r="O65" s="1084"/>
      <c r="P65" s="1084"/>
      <c r="Q65" s="1084"/>
      <c r="R65" s="1084"/>
      <c r="S65" s="1084"/>
      <c r="T65" s="1084"/>
      <c r="U65" s="163"/>
      <c r="V65" s="163"/>
      <c r="W65"/>
      <c r="X65" s="1174"/>
    </row>
    <row r="66" spans="7:24" ht="14.4">
      <c r="G66" s="804"/>
      <c r="H66" s="804"/>
      <c r="I66" s="804"/>
      <c r="J66" s="804"/>
      <c r="K66" s="804"/>
      <c r="L66" s="804"/>
      <c r="M66" s="804"/>
      <c r="O66" s="1085"/>
      <c r="P66" s="1084"/>
      <c r="Q66" s="1084"/>
      <c r="R66" s="1084"/>
      <c r="S66" s="1084"/>
      <c r="T66" s="1084"/>
      <c r="U66" s="163"/>
      <c r="V66" s="163"/>
      <c r="W66"/>
      <c r="X66" s="1174"/>
    </row>
    <row r="67" spans="7:24" ht="14.4">
      <c r="G67" s="807" t="s">
        <v>338</v>
      </c>
      <c r="H67" s="804"/>
      <c r="I67" s="804"/>
      <c r="J67" s="804"/>
      <c r="K67" s="804"/>
      <c r="L67" s="804"/>
      <c r="M67" s="804"/>
      <c r="O67" s="1086">
        <v>5.1861382572379773</v>
      </c>
      <c r="P67" s="185" t="s">
        <v>392</v>
      </c>
      <c r="Q67" s="1084"/>
      <c r="R67" s="1084"/>
      <c r="S67" s="1084"/>
      <c r="T67" s="1084"/>
      <c r="U67" s="163"/>
      <c r="V67" s="163"/>
      <c r="W67"/>
      <c r="X67" s="1174"/>
    </row>
    <row r="68" spans="7:24" ht="14.4">
      <c r="G68" s="682"/>
      <c r="H68" s="682"/>
      <c r="I68" s="682"/>
      <c r="J68" s="682"/>
      <c r="K68" s="682"/>
      <c r="L68" s="682"/>
      <c r="M68" s="682"/>
      <c r="N68" s="160"/>
      <c r="O68" s="160"/>
      <c r="P68" s="160"/>
      <c r="Q68" s="160"/>
      <c r="R68" s="160"/>
      <c r="S68" s="160"/>
      <c r="T68" s="160"/>
      <c r="U68" s="160"/>
      <c r="V68" s="160"/>
      <c r="W68"/>
      <c r="X68" s="1174"/>
    </row>
    <row r="69" spans="7:24" ht="14.4">
      <c r="G69" s="804"/>
      <c r="H69" s="804"/>
      <c r="I69" s="804"/>
      <c r="J69" s="804"/>
      <c r="K69" s="804"/>
      <c r="L69" s="804"/>
      <c r="M69" s="804"/>
      <c r="W69"/>
    </row>
    <row r="70" spans="7:24" ht="14.4">
      <c r="G70" s="804"/>
      <c r="H70" s="807"/>
      <c r="I70" s="804"/>
      <c r="J70" s="804"/>
      <c r="K70" s="804" t="s">
        <v>339</v>
      </c>
      <c r="L70" s="807"/>
      <c r="W70"/>
    </row>
    <row r="71" spans="7:24" ht="14.4">
      <c r="W71"/>
    </row>
    <row r="92" spans="23:24">
      <c r="W92" s="251"/>
    </row>
    <row r="93" spans="23:24">
      <c r="W93" s="251"/>
      <c r="X93" s="252"/>
    </row>
    <row r="130" spans="23:24">
      <c r="W130" s="147"/>
      <c r="X130" s="147"/>
    </row>
    <row r="131" spans="23:24">
      <c r="W131" s="147"/>
      <c r="X131" s="147"/>
    </row>
  </sheetData>
  <sheetProtection formatCells="0"/>
  <mergeCells count="7">
    <mergeCell ref="X55:X68"/>
    <mergeCell ref="H1:U1"/>
    <mergeCell ref="G65:M65"/>
    <mergeCell ref="O3:U3"/>
    <mergeCell ref="G7:M7"/>
    <mergeCell ref="G32:M32"/>
    <mergeCell ref="G55:M55"/>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FA4F-A7D8-469E-9924-4350D1FB789C}">
  <sheetPr>
    <tabColor theme="4" tint="0.59999389629810485"/>
    <pageSetUpPr fitToPage="1"/>
  </sheetPr>
  <dimension ref="A1:AQ102"/>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12" width="4.109375" style="654" customWidth="1"/>
    <col min="13" max="13" width="24.5546875" style="654" customWidth="1"/>
    <col min="14" max="14" width="15.109375" style="146" customWidth="1"/>
    <col min="15" max="17" width="9.109375" style="146"/>
    <col min="18" max="18" width="4.109375" style="654" customWidth="1"/>
    <col min="19" max="19" width="9.109375" style="654" customWidth="1"/>
    <col min="20" max="20" width="35.109375" style="654" customWidth="1"/>
    <col min="21" max="21" width="13.6640625" style="146" customWidth="1"/>
    <col min="22" max="22" width="14.109375" style="146" customWidth="1"/>
    <col min="23" max="23" width="71.6640625" style="146" customWidth="1"/>
    <col min="24" max="24" width="4.109375" style="146" customWidth="1"/>
    <col min="25" max="25" width="9.109375" style="146" customWidth="1"/>
    <col min="26" max="27" width="9.109375" style="146"/>
    <col min="28" max="28" width="17.109375" style="146" bestFit="1" customWidth="1"/>
    <col min="29" max="29" width="15.6640625" style="146" bestFit="1" customWidth="1"/>
    <col min="30" max="30" width="19.33203125" style="146" customWidth="1"/>
    <col min="31" max="31" width="20.5546875" style="146" bestFit="1" customWidth="1"/>
    <col min="32" max="32" width="9.109375" style="146"/>
    <col min="33" max="33" width="17.109375" style="146" bestFit="1" customWidth="1"/>
    <col min="34" max="34" width="18.33203125" style="146" bestFit="1" customWidth="1"/>
    <col min="35" max="35" width="26" style="146" bestFit="1" customWidth="1"/>
    <col min="36" max="36" width="20.5546875" style="146" bestFit="1" customWidth="1"/>
    <col min="37" max="37" width="9.109375" style="146"/>
    <col min="38" max="39" width="13.5546875" style="146" customWidth="1"/>
    <col min="40" max="41" width="16.44140625" style="146" customWidth="1"/>
    <col min="42" max="16384" width="9.109375" style="146"/>
  </cols>
  <sheetData>
    <row r="1" spans="1:43" s="667" customFormat="1" ht="39.9" customHeight="1" thickBot="1">
      <c r="A1" s="666" t="str">
        <f>+Manual!A1</f>
        <v>Q2
2025</v>
      </c>
      <c r="B1" s="666" t="str">
        <f>+Manual!D1</f>
        <v>Q2
2026</v>
      </c>
      <c r="C1" s="666"/>
      <c r="D1" s="666"/>
      <c r="E1" s="666"/>
      <c r="F1" s="666"/>
      <c r="G1" s="653"/>
      <c r="H1" s="1143" t="str">
        <f>+_xlfn.CONCAT("Investment Portfolio - Quality Ratings as of ",CHOOSE(RIGHT(LEFT(B1,2),1),"March 31, ","June 30, ","September 30, ","December 31, "),RIGHT(B1,4))</f>
        <v>Investment Portfolio - Quality Ratings as of June 30, 2026</v>
      </c>
      <c r="I1" s="1143"/>
      <c r="J1" s="1143"/>
      <c r="K1" s="1143"/>
      <c r="L1" s="1143"/>
      <c r="M1" s="1143"/>
      <c r="N1" s="1143"/>
      <c r="O1" s="1143"/>
      <c r="P1" s="1143"/>
      <c r="Q1" s="1143"/>
      <c r="R1" s="1143"/>
      <c r="S1" s="1143"/>
      <c r="T1" s="1143"/>
      <c r="U1" s="1143"/>
      <c r="V1" s="1131" t="s">
        <v>752</v>
      </c>
      <c r="W1" s="1131"/>
      <c r="X1" s="661"/>
    </row>
    <row r="2" spans="1:43" s="654" customFormat="1" ht="14.4">
      <c r="A2" s="656"/>
      <c r="B2" s="656"/>
      <c r="C2" s="656"/>
      <c r="D2" s="656"/>
      <c r="E2" s="656"/>
      <c r="F2" s="656"/>
      <c r="X2" s="661"/>
    </row>
    <row r="3" spans="1:43" s="654" customFormat="1" ht="14.4">
      <c r="A3" s="656"/>
      <c r="B3" s="656"/>
      <c r="C3" s="656"/>
      <c r="D3" s="656"/>
      <c r="E3" s="656"/>
      <c r="F3" s="656"/>
      <c r="N3" s="739"/>
      <c r="O3" s="739"/>
      <c r="P3" s="739"/>
      <c r="Q3" s="739"/>
      <c r="R3" s="739"/>
      <c r="S3" s="739"/>
      <c r="T3" s="739"/>
      <c r="X3" s="661"/>
    </row>
    <row r="4" spans="1:43" s="654" customFormat="1" ht="30" customHeight="1">
      <c r="A4" s="656"/>
      <c r="B4" s="656"/>
      <c r="C4" s="656"/>
      <c r="D4" s="656"/>
      <c r="E4" s="656"/>
      <c r="F4" s="656"/>
      <c r="G4" s="802" t="s">
        <v>0</v>
      </c>
      <c r="H4" s="804"/>
      <c r="I4" s="826"/>
      <c r="J4" s="804"/>
      <c r="K4" s="804"/>
      <c r="L4" s="804"/>
      <c r="M4" s="804"/>
      <c r="N4" s="804"/>
      <c r="O4" s="804"/>
      <c r="P4" s="827"/>
      <c r="Q4" s="828"/>
      <c r="R4" s="804"/>
      <c r="S4" s="804"/>
      <c r="T4" s="804"/>
      <c r="U4" s="804"/>
      <c r="V4" s="804"/>
      <c r="W4" s="804"/>
      <c r="X4" s="661"/>
      <c r="Y4" s="804"/>
      <c r="AP4" s="655"/>
      <c r="AQ4" s="804"/>
    </row>
    <row r="5" spans="1:43" ht="15" customHeight="1">
      <c r="G5" s="1178" t="s">
        <v>393</v>
      </c>
      <c r="H5" s="1175"/>
      <c r="I5" s="1175"/>
      <c r="J5" s="1175"/>
      <c r="K5" s="1175"/>
      <c r="L5" s="1175"/>
      <c r="M5" s="1175"/>
      <c r="N5" s="195"/>
      <c r="O5" s="195"/>
      <c r="P5" s="196"/>
      <c r="Q5" s="197"/>
      <c r="R5" s="841"/>
      <c r="S5" s="841"/>
      <c r="T5" s="841"/>
      <c r="U5" s="195"/>
      <c r="V5" s="195"/>
      <c r="W5" s="195"/>
      <c r="X5"/>
      <c r="Y5" s="195"/>
      <c r="AP5" s="198"/>
      <c r="AQ5" s="195"/>
    </row>
    <row r="6" spans="1:43" ht="28.2">
      <c r="G6" s="804"/>
      <c r="H6" s="804"/>
      <c r="I6" s="804"/>
      <c r="J6" s="804"/>
      <c r="K6" s="804"/>
      <c r="L6" s="804"/>
      <c r="M6" s="804"/>
      <c r="N6" s="199" t="s">
        <v>394</v>
      </c>
      <c r="O6" s="200" t="s">
        <v>309</v>
      </c>
      <c r="P6" s="201"/>
      <c r="Q6" s="194"/>
      <c r="R6" s="804"/>
      <c r="S6" s="804"/>
      <c r="T6" s="804"/>
      <c r="U6" s="163"/>
      <c r="V6" s="165"/>
      <c r="W6" s="163"/>
      <c r="X6"/>
      <c r="Y6" s="163"/>
      <c r="AP6" s="147"/>
      <c r="AQ6" s="163"/>
    </row>
    <row r="7" spans="1:43" ht="15" customHeight="1">
      <c r="G7" s="805" t="s">
        <v>753</v>
      </c>
      <c r="H7" s="804"/>
      <c r="I7" s="804"/>
      <c r="J7" s="804"/>
      <c r="K7" s="804"/>
      <c r="L7" s="804"/>
      <c r="M7" s="804"/>
      <c r="N7" s="202"/>
      <c r="O7" s="163"/>
      <c r="P7" s="201"/>
      <c r="Q7" s="194"/>
      <c r="R7" s="804"/>
      <c r="S7" s="804"/>
      <c r="T7" s="806"/>
      <c r="U7" s="163"/>
      <c r="V7" s="163"/>
      <c r="W7" s="163"/>
      <c r="X7"/>
      <c r="Y7" s="163"/>
      <c r="AP7" s="147"/>
      <c r="AQ7" s="163"/>
    </row>
    <row r="8" spans="1:43" ht="15" customHeight="1">
      <c r="G8" s="804"/>
      <c r="H8" s="829" t="s">
        <v>321</v>
      </c>
      <c r="I8" s="804"/>
      <c r="J8" s="804"/>
      <c r="K8" s="804"/>
      <c r="L8" s="804"/>
      <c r="M8" s="804"/>
      <c r="N8" s="202"/>
      <c r="O8" s="165"/>
      <c r="P8" s="203"/>
      <c r="Q8" s="165"/>
      <c r="R8" s="804"/>
      <c r="S8" s="806"/>
      <c r="T8" s="806"/>
      <c r="U8" s="165"/>
      <c r="V8" s="165"/>
      <c r="W8" s="165"/>
      <c r="X8"/>
      <c r="Y8" s="163"/>
      <c r="AP8" s="147"/>
      <c r="AQ8" s="163"/>
    </row>
    <row r="9" spans="1:43" ht="15" customHeight="1">
      <c r="G9" s="804"/>
      <c r="H9" s="804" t="s">
        <v>351</v>
      </c>
      <c r="I9" s="804"/>
      <c r="J9" s="804"/>
      <c r="K9" s="804"/>
      <c r="L9" s="804"/>
      <c r="M9" s="804"/>
      <c r="N9" s="780">
        <f t="shared" ref="N9:N14" si="0">+AD24/1000</f>
        <v>670861.20852999983</v>
      </c>
      <c r="O9" s="914">
        <f t="shared" ref="O9:O14" si="1">+AE24</f>
        <v>0.18408326010924808</v>
      </c>
      <c r="P9" s="203"/>
      <c r="Q9" s="165"/>
      <c r="R9" s="806"/>
      <c r="S9" s="806"/>
      <c r="T9" s="806"/>
      <c r="U9" s="165"/>
      <c r="V9" s="165"/>
      <c r="W9" s="165"/>
      <c r="X9"/>
      <c r="Y9" s="163"/>
      <c r="AP9" s="147"/>
      <c r="AQ9" s="163"/>
    </row>
    <row r="10" spans="1:43" ht="15" customHeight="1">
      <c r="G10" s="804"/>
      <c r="H10" s="804" t="s">
        <v>355</v>
      </c>
      <c r="I10" s="804"/>
      <c r="J10" s="804"/>
      <c r="K10" s="804"/>
      <c r="L10" s="804"/>
      <c r="M10" s="804"/>
      <c r="N10" s="202">
        <f t="shared" si="0"/>
        <v>494329.04603999999</v>
      </c>
      <c r="O10" s="914">
        <f t="shared" si="1"/>
        <v>0.13564311247200175</v>
      </c>
      <c r="P10" s="203"/>
      <c r="Q10" s="165"/>
      <c r="R10" s="806"/>
      <c r="S10" s="806"/>
      <c r="T10" s="806"/>
      <c r="U10" s="165"/>
      <c r="V10" s="165"/>
      <c r="W10" s="165"/>
      <c r="X10"/>
      <c r="Y10" s="163"/>
      <c r="AP10" s="147"/>
      <c r="AQ10" s="163"/>
    </row>
    <row r="11" spans="1:43" ht="14.4">
      <c r="G11" s="804"/>
      <c r="H11" s="804" t="s">
        <v>366</v>
      </c>
      <c r="I11" s="804"/>
      <c r="J11" s="804"/>
      <c r="K11" s="804"/>
      <c r="L11" s="804"/>
      <c r="M11" s="804"/>
      <c r="N11" s="202">
        <f t="shared" si="0"/>
        <v>902900.17053999996</v>
      </c>
      <c r="O11" s="914">
        <f t="shared" si="1"/>
        <v>0.24775438620217474</v>
      </c>
      <c r="P11" s="203"/>
      <c r="Q11" s="165"/>
      <c r="R11" s="806"/>
      <c r="S11" s="806"/>
      <c r="T11" s="806"/>
      <c r="U11" s="165"/>
      <c r="V11" s="165"/>
      <c r="W11" s="165"/>
      <c r="X11"/>
      <c r="Y11" s="163"/>
      <c r="AP11" s="147"/>
      <c r="AQ11" s="163"/>
    </row>
    <row r="12" spans="1:43" ht="15" customHeight="1">
      <c r="G12" s="804"/>
      <c r="H12" s="804" t="s">
        <v>362</v>
      </c>
      <c r="I12" s="807"/>
      <c r="J12" s="804"/>
      <c r="K12" s="804"/>
      <c r="L12" s="804"/>
      <c r="M12" s="804"/>
      <c r="N12" s="202">
        <f t="shared" si="0"/>
        <v>1543744.4915500006</v>
      </c>
      <c r="O12" s="914">
        <f t="shared" si="1"/>
        <v>0.42360105960353756</v>
      </c>
      <c r="P12" s="203"/>
      <c r="Q12" s="165"/>
      <c r="R12" s="806"/>
      <c r="S12" s="806"/>
      <c r="T12" s="806"/>
      <c r="U12" s="165"/>
      <c r="V12" s="165"/>
      <c r="W12" s="165"/>
      <c r="X12"/>
      <c r="Y12" s="163"/>
      <c r="AP12" s="147"/>
      <c r="AQ12" s="163"/>
    </row>
    <row r="13" spans="1:43" ht="15" customHeight="1">
      <c r="G13" s="804"/>
      <c r="H13" s="804" t="s">
        <v>395</v>
      </c>
      <c r="I13" s="807"/>
      <c r="J13" s="804"/>
      <c r="K13" s="804"/>
      <c r="L13" s="804"/>
      <c r="M13" s="804"/>
      <c r="N13" s="202">
        <f t="shared" si="0"/>
        <v>31080.08151</v>
      </c>
      <c r="O13" s="914">
        <f t="shared" si="1"/>
        <v>8.5283254659463802E-3</v>
      </c>
      <c r="P13" s="205"/>
      <c r="Q13" s="165"/>
      <c r="R13" s="806"/>
      <c r="S13" s="806"/>
      <c r="T13" s="806"/>
      <c r="U13" s="165"/>
      <c r="V13" s="165"/>
      <c r="W13" s="165"/>
      <c r="X13"/>
      <c r="Y13" s="163"/>
      <c r="AP13" s="147"/>
      <c r="AQ13" s="163"/>
    </row>
    <row r="14" spans="1:43" ht="15" customHeight="1">
      <c r="G14" s="804"/>
      <c r="H14" s="804" t="s">
        <v>396</v>
      </c>
      <c r="I14" s="807"/>
      <c r="J14" s="804"/>
      <c r="K14" s="804"/>
      <c r="L14" s="804"/>
      <c r="M14" s="804"/>
      <c r="N14" s="202">
        <f t="shared" si="0"/>
        <v>1420.7667000000001</v>
      </c>
      <c r="O14" s="914">
        <f t="shared" si="1"/>
        <v>3.8985614709150743E-4</v>
      </c>
      <c r="P14" s="206"/>
      <c r="Q14" s="165"/>
      <c r="R14" s="806"/>
      <c r="S14" s="806"/>
      <c r="T14" s="806"/>
      <c r="U14" s="207"/>
      <c r="V14" s="165"/>
      <c r="W14" s="165"/>
      <c r="X14"/>
      <c r="Y14" s="163"/>
      <c r="AP14" s="147"/>
      <c r="AQ14" s="163"/>
    </row>
    <row r="15" spans="1:43" ht="15" customHeight="1" thickBot="1">
      <c r="G15" s="804"/>
      <c r="H15" s="804"/>
      <c r="I15" s="807" t="s">
        <v>325</v>
      </c>
      <c r="J15" s="804"/>
      <c r="K15" s="804"/>
      <c r="L15" s="804"/>
      <c r="N15" s="782">
        <f>SUM(N9:N14)</f>
        <v>3644335.7648700005</v>
      </c>
      <c r="O15" s="913">
        <f>SUM(O9:O14)</f>
        <v>1</v>
      </c>
      <c r="P15" s="205"/>
      <c r="Q15" s="208"/>
      <c r="R15" s="806"/>
      <c r="S15" s="806"/>
      <c r="T15" s="806"/>
      <c r="U15" s="207"/>
      <c r="V15" s="165"/>
      <c r="W15" s="165"/>
      <c r="X15"/>
      <c r="Y15" s="163"/>
      <c r="AP15" s="147"/>
      <c r="AQ15" s="163"/>
    </row>
    <row r="16" spans="1:43" ht="15" customHeight="1" thickTop="1">
      <c r="G16" s="830"/>
      <c r="H16" s="830"/>
      <c r="I16" s="830"/>
      <c r="J16" s="830"/>
      <c r="K16" s="830"/>
      <c r="L16" s="830"/>
      <c r="M16" s="831"/>
      <c r="N16" s="209"/>
      <c r="O16" s="210"/>
      <c r="P16" s="211"/>
      <c r="Q16" s="212"/>
      <c r="R16" s="842"/>
      <c r="S16" s="842"/>
      <c r="T16" s="842"/>
      <c r="U16" s="210"/>
      <c r="V16" s="210"/>
      <c r="W16" s="210"/>
      <c r="X16"/>
      <c r="Y16" s="163"/>
      <c r="AP16" s="147"/>
      <c r="AQ16" s="163"/>
    </row>
    <row r="17" spans="7:43" ht="15" customHeight="1">
      <c r="G17" s="804"/>
      <c r="H17" s="804"/>
      <c r="I17" s="804"/>
      <c r="J17" s="804"/>
      <c r="K17" s="804"/>
      <c r="L17" s="804"/>
      <c r="M17" s="804"/>
      <c r="N17" s="213"/>
      <c r="O17" s="165"/>
      <c r="P17" s="205"/>
      <c r="Q17" s="214"/>
      <c r="R17" s="806"/>
      <c r="S17" s="806"/>
      <c r="T17" s="806"/>
      <c r="U17" s="165"/>
      <c r="V17" s="165"/>
      <c r="W17" s="165"/>
      <c r="X17"/>
      <c r="Y17" s="163"/>
      <c r="AP17" s="147"/>
      <c r="AQ17" s="163"/>
    </row>
    <row r="18" spans="7:43" ht="30" customHeight="1">
      <c r="G18" s="804"/>
      <c r="H18" s="804"/>
      <c r="I18" s="804"/>
      <c r="J18" s="804"/>
      <c r="K18" s="804"/>
      <c r="L18" s="804"/>
      <c r="M18" s="804"/>
      <c r="N18" s="199" t="s">
        <v>394</v>
      </c>
      <c r="O18" s="200" t="s">
        <v>309</v>
      </c>
      <c r="P18" s="205"/>
      <c r="Q18" s="165"/>
      <c r="R18" s="806"/>
      <c r="S18" s="806"/>
      <c r="T18" s="806"/>
      <c r="U18" s="184" t="s">
        <v>394</v>
      </c>
      <c r="V18" s="215" t="s">
        <v>309</v>
      </c>
      <c r="W18" s="216"/>
      <c r="X18"/>
      <c r="Y18" s="163"/>
      <c r="AP18" s="147"/>
      <c r="AQ18" s="163"/>
    </row>
    <row r="19" spans="7:43" ht="15" customHeight="1">
      <c r="G19" s="805" t="s">
        <v>397</v>
      </c>
      <c r="H19" s="804"/>
      <c r="I19" s="804"/>
      <c r="J19" s="804"/>
      <c r="K19" s="804"/>
      <c r="L19" s="804"/>
      <c r="M19" s="804"/>
      <c r="N19" s="202"/>
      <c r="O19" s="165"/>
      <c r="P19" s="205"/>
      <c r="Q19" s="165"/>
      <c r="R19" s="843" t="s">
        <v>398</v>
      </c>
      <c r="S19" s="806"/>
      <c r="T19" s="806"/>
      <c r="U19" s="153"/>
      <c r="V19" s="165"/>
      <c r="W19" s="165"/>
      <c r="X19"/>
      <c r="Y19" s="163"/>
      <c r="AP19" s="147"/>
      <c r="AQ19" s="163"/>
    </row>
    <row r="20" spans="7:43" ht="15" customHeight="1">
      <c r="G20" s="804"/>
      <c r="H20" s="829" t="s">
        <v>321</v>
      </c>
      <c r="I20" s="804"/>
      <c r="J20" s="804"/>
      <c r="K20" s="804"/>
      <c r="L20" s="804"/>
      <c r="M20" s="804"/>
      <c r="N20" s="202"/>
      <c r="O20" s="165"/>
      <c r="P20" s="205"/>
      <c r="Q20" s="165"/>
      <c r="R20" s="806"/>
      <c r="S20" s="844" t="s">
        <v>321</v>
      </c>
      <c r="T20" s="806"/>
      <c r="U20" s="153"/>
      <c r="V20" s="165"/>
      <c r="W20" s="165"/>
      <c r="X20"/>
      <c r="Y20" s="163"/>
      <c r="AB20" s="478" t="s">
        <v>341</v>
      </c>
      <c r="AC20" s="478" t="s">
        <v>371</v>
      </c>
      <c r="AD20" s="479" t="s">
        <v>251</v>
      </c>
      <c r="AE20" s="479"/>
      <c r="AF20" s="437"/>
      <c r="AG20" s="437"/>
      <c r="AH20" s="437"/>
      <c r="AI20" s="437"/>
      <c r="AJ20" s="437"/>
      <c r="AP20" s="147"/>
      <c r="AQ20" s="163"/>
    </row>
    <row r="21" spans="7:43" ht="15" customHeight="1">
      <c r="G21" s="804"/>
      <c r="H21" s="804" t="s">
        <v>351</v>
      </c>
      <c r="I21" s="804"/>
      <c r="J21" s="804"/>
      <c r="K21" s="804"/>
      <c r="L21" s="804"/>
      <c r="M21" s="804"/>
      <c r="N21" s="780">
        <f t="shared" ref="N21:N26" si="2">+AD38/1000</f>
        <v>2038.3188699999998</v>
      </c>
      <c r="O21" s="912">
        <f t="shared" ref="O21:O26" si="3">+AE38</f>
        <v>1.0582190962970181E-3</v>
      </c>
      <c r="P21" s="205"/>
      <c r="Q21" s="165"/>
      <c r="R21" s="806"/>
      <c r="S21" s="806" t="s">
        <v>351</v>
      </c>
      <c r="T21" s="806"/>
      <c r="U21" s="780">
        <v>0</v>
      </c>
      <c r="V21" s="912">
        <v>0</v>
      </c>
      <c r="W21" s="217"/>
      <c r="X21"/>
      <c r="Y21" s="163"/>
      <c r="AB21" s="437"/>
      <c r="AC21" s="437"/>
      <c r="AD21" s="437"/>
      <c r="AE21" s="437"/>
      <c r="AF21" s="437"/>
      <c r="AG21" s="437"/>
      <c r="AH21" s="437"/>
      <c r="AI21" s="437"/>
      <c r="AJ21" s="437"/>
      <c r="AP21" s="147"/>
      <c r="AQ21" s="163"/>
    </row>
    <row r="22" spans="7:43" ht="15" customHeight="1">
      <c r="G22" s="804"/>
      <c r="H22" s="804" t="s">
        <v>355</v>
      </c>
      <c r="I22" s="804"/>
      <c r="J22" s="804"/>
      <c r="K22" s="804"/>
      <c r="L22" s="804"/>
      <c r="M22" s="804"/>
      <c r="N22" s="786">
        <f t="shared" si="2"/>
        <v>84524.067579999974</v>
      </c>
      <c r="O22" s="912">
        <f t="shared" si="3"/>
        <v>4.3881741824749756E-2</v>
      </c>
      <c r="P22" s="205"/>
      <c r="Q22" s="165"/>
      <c r="R22" s="806"/>
      <c r="S22" s="806" t="s">
        <v>355</v>
      </c>
      <c r="T22" s="806"/>
      <c r="U22" s="786">
        <f>+AI38/1000</f>
        <v>8860</v>
      </c>
      <c r="V22" s="912">
        <f>AJ38</f>
        <v>2.396786329310854E-2</v>
      </c>
      <c r="W22" s="217"/>
      <c r="X22"/>
      <c r="Y22" s="163"/>
      <c r="AB22" s="480"/>
      <c r="AC22" s="481"/>
      <c r="AD22" s="480" t="s">
        <v>340</v>
      </c>
      <c r="AE22" s="482"/>
      <c r="AF22" s="437"/>
      <c r="AG22" s="437"/>
      <c r="AH22" s="437"/>
      <c r="AI22" s="437"/>
      <c r="AJ22" s="437"/>
      <c r="AP22" s="147"/>
      <c r="AQ22" s="163"/>
    </row>
    <row r="23" spans="7:43" ht="14.4">
      <c r="G23" s="804"/>
      <c r="H23" s="804" t="s">
        <v>366</v>
      </c>
      <c r="I23" s="804"/>
      <c r="J23" s="804"/>
      <c r="K23" s="804"/>
      <c r="L23" s="804"/>
      <c r="M23" s="804"/>
      <c r="N23" s="786">
        <f t="shared" si="2"/>
        <v>547222.26590000011</v>
      </c>
      <c r="O23" s="912">
        <f t="shared" si="3"/>
        <v>0.28409738055081868</v>
      </c>
      <c r="P23" s="205"/>
      <c r="Q23" s="165"/>
      <c r="R23" s="806"/>
      <c r="S23" s="806" t="s">
        <v>366</v>
      </c>
      <c r="T23" s="806"/>
      <c r="U23" s="786">
        <f>+AI39/1000</f>
        <v>108429.68569000001</v>
      </c>
      <c r="V23" s="912">
        <f>AJ39</f>
        <v>0.29332143154996027</v>
      </c>
      <c r="W23" s="217"/>
      <c r="X23"/>
      <c r="Y23" s="163"/>
      <c r="AB23" s="480" t="s">
        <v>413</v>
      </c>
      <c r="AC23" s="480" t="s">
        <v>414</v>
      </c>
      <c r="AD23" s="480" t="s">
        <v>343</v>
      </c>
      <c r="AE23" s="483" t="s">
        <v>346</v>
      </c>
      <c r="AF23" s="437"/>
      <c r="AG23" s="437"/>
      <c r="AH23" s="437"/>
      <c r="AI23" s="437"/>
      <c r="AJ23" s="437"/>
      <c r="AP23" s="147"/>
      <c r="AQ23" s="163"/>
    </row>
    <row r="24" spans="7:43" ht="14.4">
      <c r="G24" s="804"/>
      <c r="H24" s="804" t="s">
        <v>362</v>
      </c>
      <c r="I24" s="807"/>
      <c r="J24" s="804"/>
      <c r="K24" s="804"/>
      <c r="L24" s="804"/>
      <c r="M24" s="804"/>
      <c r="N24" s="786">
        <f t="shared" si="2"/>
        <v>1265363.6817000001</v>
      </c>
      <c r="O24" s="912">
        <f t="shared" si="3"/>
        <v>0.65692960578618498</v>
      </c>
      <c r="P24" s="205"/>
      <c r="Q24" s="165"/>
      <c r="R24" s="806"/>
      <c r="S24" s="806" t="s">
        <v>362</v>
      </c>
      <c r="T24" s="806"/>
      <c r="U24" s="786">
        <f>+AI40/1000</f>
        <v>251371.96881999995</v>
      </c>
      <c r="V24" s="912">
        <f>AJ40</f>
        <v>0.68000552871301378</v>
      </c>
      <c r="W24" s="217"/>
      <c r="X24"/>
      <c r="Y24" s="163"/>
      <c r="AB24" s="484">
        <v>1</v>
      </c>
      <c r="AC24" s="484">
        <v>1</v>
      </c>
      <c r="AD24" s="485">
        <v>670861208.52999985</v>
      </c>
      <c r="AE24" s="486">
        <v>0.18408326010924808</v>
      </c>
      <c r="AF24" s="437"/>
      <c r="AG24" s="437"/>
      <c r="AH24" s="437"/>
      <c r="AI24" s="437"/>
      <c r="AJ24" s="437"/>
      <c r="AP24" s="147"/>
      <c r="AQ24" s="163"/>
    </row>
    <row r="25" spans="7:43" ht="14.4">
      <c r="G25" s="804"/>
      <c r="H25" s="804" t="s">
        <v>395</v>
      </c>
      <c r="I25" s="807"/>
      <c r="J25" s="804"/>
      <c r="K25" s="804"/>
      <c r="L25" s="804"/>
      <c r="M25" s="804"/>
      <c r="N25" s="786">
        <f t="shared" si="2"/>
        <v>26829.548569999992</v>
      </c>
      <c r="O25" s="912">
        <f t="shared" si="3"/>
        <v>1.3928900457955506E-2</v>
      </c>
      <c r="P25" s="205"/>
      <c r="Q25" s="165"/>
      <c r="R25" s="806"/>
      <c r="S25" s="806" t="s">
        <v>395</v>
      </c>
      <c r="T25" s="806"/>
      <c r="U25" s="786">
        <f>+AI41/1000</f>
        <v>1000</v>
      </c>
      <c r="V25" s="912">
        <f>AJ41</f>
        <v>2.7051764439174424E-3</v>
      </c>
      <c r="W25" s="217"/>
      <c r="X25"/>
      <c r="Y25" s="163"/>
      <c r="AB25" s="484" t="s">
        <v>415</v>
      </c>
      <c r="AC25" s="487"/>
      <c r="AD25" s="485">
        <v>494329046.03999996</v>
      </c>
      <c r="AE25" s="486">
        <v>0.13564311247200175</v>
      </c>
      <c r="AF25" s="437"/>
      <c r="AG25" s="437"/>
      <c r="AH25" s="437"/>
      <c r="AI25" s="437"/>
      <c r="AJ25" s="437"/>
      <c r="AP25" s="147"/>
      <c r="AQ25" s="163"/>
    </row>
    <row r="26" spans="7:43" ht="14.4">
      <c r="G26" s="804"/>
      <c r="H26" s="804" t="s">
        <v>396</v>
      </c>
      <c r="I26" s="807"/>
      <c r="J26" s="804"/>
      <c r="K26" s="804"/>
      <c r="L26" s="804"/>
      <c r="M26" s="804"/>
      <c r="N26" s="786">
        <f t="shared" si="2"/>
        <v>200.61588999999998</v>
      </c>
      <c r="O26" s="912">
        <f t="shared" si="3"/>
        <v>1.0415228399402593E-4</v>
      </c>
      <c r="P26" s="206"/>
      <c r="Q26" s="165"/>
      <c r="R26" s="806"/>
      <c r="S26" s="806" t="s">
        <v>396</v>
      </c>
      <c r="T26" s="806"/>
      <c r="U26" s="786">
        <f>+AI42/1000</f>
        <v>0</v>
      </c>
      <c r="V26" s="912">
        <f>AJ42</f>
        <v>0</v>
      </c>
      <c r="W26" s="217"/>
      <c r="X26"/>
      <c r="Y26" s="194"/>
      <c r="AB26" s="484" t="s">
        <v>416</v>
      </c>
      <c r="AC26" s="487"/>
      <c r="AD26" s="485">
        <v>902900170.53999996</v>
      </c>
      <c r="AE26" s="486">
        <v>0.24775438620217474</v>
      </c>
      <c r="AF26" s="437"/>
      <c r="AG26" s="437"/>
      <c r="AH26" s="437"/>
      <c r="AI26" s="437"/>
      <c r="AJ26" s="437"/>
      <c r="AP26" s="147"/>
      <c r="AQ26" s="163"/>
    </row>
    <row r="27" spans="7:43" ht="15" thickBot="1">
      <c r="G27" s="804"/>
      <c r="H27" s="804"/>
      <c r="I27" s="807" t="s">
        <v>399</v>
      </c>
      <c r="J27" s="804"/>
      <c r="K27" s="804"/>
      <c r="L27" s="804"/>
      <c r="N27" s="782">
        <f>SUM(N21:N26)</f>
        <v>1926178.4985100003</v>
      </c>
      <c r="O27" s="913">
        <f>SUM(O21:O26)</f>
        <v>1</v>
      </c>
      <c r="P27" s="205"/>
      <c r="Q27" s="165"/>
      <c r="R27" s="806"/>
      <c r="S27" s="806"/>
      <c r="T27" s="809" t="s">
        <v>400</v>
      </c>
      <c r="U27" s="782">
        <f>SUM(U21:U26)</f>
        <v>369661.65450999996</v>
      </c>
      <c r="V27" s="913">
        <f>SUM(V21:V26)</f>
        <v>1</v>
      </c>
      <c r="W27" s="187"/>
      <c r="X27"/>
      <c r="Y27" s="163"/>
      <c r="AB27" s="484" t="s">
        <v>341</v>
      </c>
      <c r="AC27" s="487"/>
      <c r="AD27" s="485">
        <v>1543744491.5500007</v>
      </c>
      <c r="AE27" s="486">
        <v>0.42360105960353756</v>
      </c>
      <c r="AF27" s="437"/>
      <c r="AG27" s="437"/>
      <c r="AH27" s="437"/>
      <c r="AI27" s="437"/>
      <c r="AJ27" s="437"/>
      <c r="AP27" s="147"/>
      <c r="AQ27" s="163"/>
    </row>
    <row r="28" spans="7:43" ht="15" thickTop="1">
      <c r="G28" s="804"/>
      <c r="H28" s="804"/>
      <c r="I28" s="804"/>
      <c r="J28" s="804"/>
      <c r="K28" s="804"/>
      <c r="L28" s="804"/>
      <c r="M28" s="804"/>
      <c r="N28" s="219"/>
      <c r="O28" s="165"/>
      <c r="P28" s="205"/>
      <c r="Q28" s="165"/>
      <c r="R28" s="806"/>
      <c r="S28" s="806"/>
      <c r="T28" s="806"/>
      <c r="U28" s="219"/>
      <c r="V28" s="165"/>
      <c r="W28" s="165"/>
      <c r="X28"/>
      <c r="Y28" s="163"/>
      <c r="AB28" s="484" t="s">
        <v>417</v>
      </c>
      <c r="AC28" s="487"/>
      <c r="AD28" s="485">
        <v>31080081.510000002</v>
      </c>
      <c r="AE28" s="486">
        <v>8.5283254659463802E-3</v>
      </c>
      <c r="AF28" s="437"/>
      <c r="AG28" s="437"/>
      <c r="AH28" s="437"/>
      <c r="AI28" s="437"/>
      <c r="AJ28" s="437"/>
      <c r="AP28" s="147"/>
      <c r="AQ28" s="163"/>
    </row>
    <row r="29" spans="7:43" ht="14.4">
      <c r="G29" s="805" t="s">
        <v>401</v>
      </c>
      <c r="H29" s="804"/>
      <c r="I29" s="804"/>
      <c r="J29" s="804"/>
      <c r="K29" s="804"/>
      <c r="L29" s="804"/>
      <c r="M29" s="804"/>
      <c r="N29" s="202"/>
      <c r="O29" s="165"/>
      <c r="P29" s="205"/>
      <c r="Q29" s="165"/>
      <c r="R29" s="843" t="s">
        <v>402</v>
      </c>
      <c r="S29" s="806"/>
      <c r="T29" s="806"/>
      <c r="U29" s="202"/>
      <c r="V29" s="165"/>
      <c r="W29" s="165"/>
      <c r="X29"/>
      <c r="Y29" s="163"/>
      <c r="AB29" s="484">
        <v>0</v>
      </c>
      <c r="AC29" s="484">
        <v>0</v>
      </c>
      <c r="AD29" s="485">
        <v>1420766.7000000002</v>
      </c>
      <c r="AE29" s="486">
        <v>3.8985614709150743E-4</v>
      </c>
      <c r="AF29" s="437"/>
      <c r="AG29" s="437"/>
      <c r="AH29" s="437"/>
      <c r="AI29" s="437"/>
      <c r="AJ29" s="437"/>
      <c r="AP29" s="147"/>
      <c r="AQ29" s="163"/>
    </row>
    <row r="30" spans="7:43" ht="14.4">
      <c r="G30" s="804"/>
      <c r="H30" s="829" t="s">
        <v>321</v>
      </c>
      <c r="I30" s="804"/>
      <c r="J30" s="804"/>
      <c r="K30" s="804"/>
      <c r="L30" s="804"/>
      <c r="M30" s="804"/>
      <c r="N30" s="202"/>
      <c r="O30" s="165"/>
      <c r="P30" s="205"/>
      <c r="Q30" s="165"/>
      <c r="R30" s="806"/>
      <c r="S30" s="844" t="s">
        <v>321</v>
      </c>
      <c r="T30" s="806"/>
      <c r="U30" s="202"/>
      <c r="V30" s="165"/>
      <c r="W30" s="165"/>
      <c r="X30"/>
      <c r="Y30" s="163"/>
      <c r="AB30" s="488" t="s">
        <v>365</v>
      </c>
      <c r="AC30" s="489"/>
      <c r="AD30" s="490">
        <v>3644335764.8700004</v>
      </c>
      <c r="AE30" s="491">
        <v>1</v>
      </c>
      <c r="AF30" s="437"/>
      <c r="AG30" s="437"/>
      <c r="AH30" s="437"/>
      <c r="AI30" s="437"/>
      <c r="AJ30" s="437"/>
      <c r="AP30" s="147"/>
      <c r="AQ30" s="163"/>
    </row>
    <row r="31" spans="7:43" ht="14.4">
      <c r="G31" s="804"/>
      <c r="H31" s="804" t="s">
        <v>351</v>
      </c>
      <c r="I31" s="804"/>
      <c r="J31" s="804"/>
      <c r="K31" s="804"/>
      <c r="L31" s="804"/>
      <c r="M31" s="804"/>
      <c r="N31" s="780">
        <f t="shared" ref="N31:N36" si="4">+AD52/1000</f>
        <v>22377.977210000001</v>
      </c>
      <c r="O31" s="912">
        <f t="shared" ref="O31:O36" si="5">+AE52</f>
        <v>0.26220376656555916</v>
      </c>
      <c r="P31" s="205"/>
      <c r="Q31" s="165"/>
      <c r="R31" s="806"/>
      <c r="S31" s="806" t="s">
        <v>351</v>
      </c>
      <c r="T31" s="806"/>
      <c r="U31" s="780">
        <f t="shared" ref="U31:U36" si="6">+AI52/1000</f>
        <v>545228.40617000009</v>
      </c>
      <c r="V31" s="912">
        <f t="shared" ref="V31:V36" si="7">+AJ52</f>
        <v>0.77493949077800783</v>
      </c>
      <c r="W31" s="217"/>
      <c r="X31"/>
      <c r="Y31" s="163"/>
      <c r="AB31" s="437"/>
      <c r="AC31" s="437"/>
      <c r="AD31" s="437"/>
      <c r="AE31" s="437"/>
      <c r="AF31" s="437"/>
      <c r="AG31" s="437"/>
      <c r="AH31" s="437"/>
      <c r="AI31" s="437"/>
      <c r="AJ31" s="437"/>
      <c r="AP31" s="147"/>
      <c r="AQ31" s="163"/>
    </row>
    <row r="32" spans="7:43" ht="14.4">
      <c r="G32" s="804"/>
      <c r="H32" s="804" t="s">
        <v>355</v>
      </c>
      <c r="I32" s="804"/>
      <c r="J32" s="804"/>
      <c r="K32" s="804"/>
      <c r="L32" s="804"/>
      <c r="M32" s="804"/>
      <c r="N32" s="786">
        <f t="shared" si="4"/>
        <v>16993.63308</v>
      </c>
      <c r="O32" s="912">
        <f t="shared" si="5"/>
        <v>0.19911516395762222</v>
      </c>
      <c r="P32" s="205"/>
      <c r="Q32" s="165"/>
      <c r="R32" s="806"/>
      <c r="S32" s="806" t="s">
        <v>355</v>
      </c>
      <c r="T32" s="806"/>
      <c r="U32" s="786">
        <f t="shared" si="6"/>
        <v>158209.89061000006</v>
      </c>
      <c r="V32" s="912">
        <f t="shared" si="7"/>
        <v>0.22486556217162798</v>
      </c>
      <c r="W32" s="217"/>
      <c r="X32"/>
      <c r="Y32" s="163"/>
      <c r="AB32" s="437"/>
      <c r="AC32" s="437"/>
      <c r="AD32" s="437"/>
      <c r="AE32" s="437"/>
      <c r="AF32" s="437"/>
      <c r="AG32" s="437"/>
      <c r="AH32" s="437"/>
      <c r="AI32" s="437"/>
      <c r="AJ32" s="437"/>
      <c r="AP32" s="147"/>
      <c r="AQ32" s="163"/>
    </row>
    <row r="33" spans="7:43" ht="14.4">
      <c r="G33" s="804"/>
      <c r="H33" s="804" t="s">
        <v>366</v>
      </c>
      <c r="I33" s="804"/>
      <c r="J33" s="804"/>
      <c r="K33" s="804"/>
      <c r="L33" s="804"/>
      <c r="M33" s="804"/>
      <c r="N33" s="786">
        <f t="shared" si="4"/>
        <v>36584.473550000002</v>
      </c>
      <c r="O33" s="912">
        <f t="shared" si="5"/>
        <v>0.4286619238463365</v>
      </c>
      <c r="P33" s="205"/>
      <c r="Q33" s="165"/>
      <c r="R33" s="806"/>
      <c r="S33" s="806" t="s">
        <v>366</v>
      </c>
      <c r="T33" s="806"/>
      <c r="U33" s="786">
        <f t="shared" si="6"/>
        <v>0</v>
      </c>
      <c r="V33" s="912">
        <f t="shared" si="7"/>
        <v>0</v>
      </c>
      <c r="W33" s="217"/>
      <c r="X33"/>
      <c r="Y33" s="163"/>
      <c r="AB33" s="437"/>
      <c r="AC33" s="437"/>
      <c r="AD33" s="437"/>
      <c r="AE33" s="437"/>
      <c r="AF33" s="437"/>
      <c r="AG33" s="437"/>
      <c r="AH33" s="437"/>
      <c r="AI33" s="437"/>
      <c r="AJ33" s="437"/>
      <c r="AP33" s="147"/>
      <c r="AQ33" s="163"/>
    </row>
    <row r="34" spans="7:43" ht="14.4">
      <c r="G34" s="804"/>
      <c r="H34" s="804" t="s">
        <v>362</v>
      </c>
      <c r="I34" s="807"/>
      <c r="J34" s="804"/>
      <c r="K34" s="804"/>
      <c r="L34" s="804"/>
      <c r="M34" s="804"/>
      <c r="N34" s="786">
        <f t="shared" si="4"/>
        <v>6192.1524900000004</v>
      </c>
      <c r="O34" s="912">
        <f t="shared" si="5"/>
        <v>7.2553729534623385E-2</v>
      </c>
      <c r="P34" s="205"/>
      <c r="Q34" s="165"/>
      <c r="R34" s="806"/>
      <c r="S34" s="806" t="s">
        <v>362</v>
      </c>
      <c r="T34" s="806"/>
      <c r="U34" s="786">
        <f t="shared" si="6"/>
        <v>0</v>
      </c>
      <c r="V34" s="912">
        <f t="shared" si="7"/>
        <v>0</v>
      </c>
      <c r="W34" s="217"/>
      <c r="X34"/>
      <c r="Y34" s="163"/>
      <c r="AB34" s="478" t="s">
        <v>341</v>
      </c>
      <c r="AC34" s="478" t="s">
        <v>356</v>
      </c>
      <c r="AD34" s="479"/>
      <c r="AE34" s="479"/>
      <c r="AF34" s="437"/>
      <c r="AG34" s="478" t="s">
        <v>341</v>
      </c>
      <c r="AH34" s="478" t="s">
        <v>361</v>
      </c>
      <c r="AI34" s="492"/>
      <c r="AJ34" s="492"/>
      <c r="AP34" s="147"/>
      <c r="AQ34" s="163"/>
    </row>
    <row r="35" spans="7:43" ht="14.4">
      <c r="G35" s="804"/>
      <c r="H35" s="804" t="s">
        <v>395</v>
      </c>
      <c r="I35" s="807"/>
      <c r="J35" s="804"/>
      <c r="K35" s="804"/>
      <c r="L35" s="804"/>
      <c r="M35" s="804"/>
      <c r="N35" s="786">
        <f t="shared" si="4"/>
        <v>3197.5140499999998</v>
      </c>
      <c r="O35" s="912">
        <f t="shared" si="5"/>
        <v>3.7465416095858808E-2</v>
      </c>
      <c r="P35" s="205"/>
      <c r="Q35" s="165"/>
      <c r="R35" s="806"/>
      <c r="S35" s="806" t="s">
        <v>395</v>
      </c>
      <c r="T35" s="806"/>
      <c r="U35" s="786">
        <f t="shared" si="6"/>
        <v>53.018889999999999</v>
      </c>
      <c r="V35" s="912">
        <f t="shared" si="7"/>
        <v>7.5356366530552018E-5</v>
      </c>
      <c r="W35" s="217"/>
      <c r="X35"/>
      <c r="Y35" s="163"/>
      <c r="AB35" s="437"/>
      <c r="AC35" s="437"/>
      <c r="AD35" s="437"/>
      <c r="AE35" s="437"/>
      <c r="AF35" s="437"/>
      <c r="AG35" s="493"/>
      <c r="AH35" s="493"/>
      <c r="AI35" s="493"/>
      <c r="AJ35" s="493"/>
      <c r="AP35" s="147"/>
      <c r="AQ35" s="163"/>
    </row>
    <row r="36" spans="7:43" ht="14.4">
      <c r="G36" s="804"/>
      <c r="H36" s="804" t="s">
        <v>396</v>
      </c>
      <c r="I36" s="807"/>
      <c r="J36" s="804"/>
      <c r="K36" s="804"/>
      <c r="L36" s="804"/>
      <c r="M36" s="804"/>
      <c r="N36" s="786">
        <f t="shared" si="4"/>
        <v>0</v>
      </c>
      <c r="O36" s="912">
        <f t="shared" si="5"/>
        <v>0</v>
      </c>
      <c r="P36" s="206"/>
      <c r="Q36" s="165"/>
      <c r="R36" s="806"/>
      <c r="S36" s="806" t="s">
        <v>396</v>
      </c>
      <c r="T36" s="806"/>
      <c r="U36" s="786">
        <f t="shared" si="6"/>
        <v>84.141070000000013</v>
      </c>
      <c r="V36" s="912">
        <f t="shared" si="7"/>
        <v>1.1959068383349471E-4</v>
      </c>
      <c r="W36" s="217"/>
      <c r="X36"/>
      <c r="Y36" s="163"/>
      <c r="AB36" s="480"/>
      <c r="AC36" s="481"/>
      <c r="AD36" s="480" t="s">
        <v>340</v>
      </c>
      <c r="AE36" s="482"/>
      <c r="AF36" s="437"/>
      <c r="AG36" s="480"/>
      <c r="AH36" s="481"/>
      <c r="AI36" s="480" t="s">
        <v>340</v>
      </c>
      <c r="AJ36" s="482"/>
      <c r="AP36" s="147"/>
      <c r="AQ36" s="163"/>
    </row>
    <row r="37" spans="7:43" ht="15" thickBot="1">
      <c r="G37" s="804"/>
      <c r="H37" s="804"/>
      <c r="I37" s="804" t="s">
        <v>403</v>
      </c>
      <c r="J37" s="804"/>
      <c r="K37" s="804"/>
      <c r="L37" s="804"/>
      <c r="N37" s="782">
        <f>SUM(N31:N36)</f>
        <v>85345.750380000012</v>
      </c>
      <c r="O37" s="913">
        <f>SUM(O31:O36)</f>
        <v>1</v>
      </c>
      <c r="P37" s="205"/>
      <c r="Q37" s="165"/>
      <c r="R37" s="806"/>
      <c r="S37" s="806"/>
      <c r="T37" s="806" t="s">
        <v>404</v>
      </c>
      <c r="U37" s="782">
        <f>SUM(U31:U36)</f>
        <v>703575.45674000017</v>
      </c>
      <c r="V37" s="913">
        <f>SUM(V31:V36)</f>
        <v>0.99999999999999989</v>
      </c>
      <c r="W37" s="187"/>
      <c r="X37"/>
      <c r="Y37" s="163"/>
      <c r="AB37" s="480" t="s">
        <v>413</v>
      </c>
      <c r="AC37" s="480" t="s">
        <v>414</v>
      </c>
      <c r="AD37" s="480" t="s">
        <v>343</v>
      </c>
      <c r="AE37" s="483" t="s">
        <v>346</v>
      </c>
      <c r="AF37" s="437"/>
      <c r="AG37" s="480" t="s">
        <v>413</v>
      </c>
      <c r="AH37" s="480" t="s">
        <v>414</v>
      </c>
      <c r="AI37" s="480" t="s">
        <v>343</v>
      </c>
      <c r="AJ37" s="483" t="s">
        <v>346</v>
      </c>
      <c r="AP37" s="147"/>
      <c r="AQ37" s="163"/>
    </row>
    <row r="38" spans="7:43" ht="15" thickTop="1">
      <c r="G38" s="804"/>
      <c r="H38" s="804"/>
      <c r="I38" s="807"/>
      <c r="J38" s="804"/>
      <c r="K38" s="804"/>
      <c r="L38" s="804"/>
      <c r="M38" s="804"/>
      <c r="N38" s="219"/>
      <c r="O38" s="204"/>
      <c r="P38" s="205"/>
      <c r="Q38" s="165"/>
      <c r="R38" s="806"/>
      <c r="S38" s="806"/>
      <c r="T38" s="806"/>
      <c r="U38" s="219"/>
      <c r="V38" s="825"/>
      <c r="W38" s="204"/>
      <c r="X38"/>
      <c r="Y38" s="163"/>
      <c r="AB38" s="494">
        <v>1</v>
      </c>
      <c r="AC38" s="494">
        <v>1</v>
      </c>
      <c r="AD38" s="495">
        <v>2038318.8699999999</v>
      </c>
      <c r="AE38" s="496">
        <v>1.0582190962970181E-3</v>
      </c>
      <c r="AF38" s="437"/>
      <c r="AG38" s="494" t="s">
        <v>415</v>
      </c>
      <c r="AH38" s="497"/>
      <c r="AI38" s="495">
        <v>8860000</v>
      </c>
      <c r="AJ38" s="496">
        <v>2.396786329310854E-2</v>
      </c>
      <c r="AP38" s="147"/>
      <c r="AQ38" s="163"/>
    </row>
    <row r="39" spans="7:43" ht="14.4">
      <c r="G39" s="805" t="s">
        <v>405</v>
      </c>
      <c r="H39" s="804"/>
      <c r="I39" s="804"/>
      <c r="J39" s="804"/>
      <c r="K39" s="804"/>
      <c r="L39" s="804"/>
      <c r="M39" s="804"/>
      <c r="N39" s="202"/>
      <c r="O39" s="165"/>
      <c r="P39" s="205"/>
      <c r="Q39" s="165"/>
      <c r="R39" s="843" t="s">
        <v>406</v>
      </c>
      <c r="S39" s="806"/>
      <c r="T39" s="806"/>
      <c r="U39" s="202"/>
      <c r="V39" s="793"/>
      <c r="W39" s="165"/>
      <c r="X39"/>
      <c r="Y39" s="163"/>
      <c r="AB39" s="494" t="s">
        <v>415</v>
      </c>
      <c r="AC39" s="497"/>
      <c r="AD39" s="495">
        <v>84524067.579999968</v>
      </c>
      <c r="AE39" s="496">
        <v>4.3881741824749756E-2</v>
      </c>
      <c r="AF39" s="437"/>
      <c r="AG39" s="494" t="s">
        <v>416</v>
      </c>
      <c r="AH39" s="497"/>
      <c r="AI39" s="495">
        <v>108429685.69000001</v>
      </c>
      <c r="AJ39" s="496">
        <v>0.29332143154996027</v>
      </c>
      <c r="AP39" s="147"/>
      <c r="AQ39" s="163"/>
    </row>
    <row r="40" spans="7:43" ht="14.4">
      <c r="G40" s="804"/>
      <c r="H40" s="829" t="s">
        <v>321</v>
      </c>
      <c r="I40" s="804"/>
      <c r="J40" s="804"/>
      <c r="K40" s="804"/>
      <c r="L40" s="804"/>
      <c r="M40" s="804"/>
      <c r="N40" s="202"/>
      <c r="O40" s="165"/>
      <c r="P40" s="205"/>
      <c r="Q40" s="165"/>
      <c r="R40" s="806"/>
      <c r="S40" s="844" t="s">
        <v>321</v>
      </c>
      <c r="T40" s="806"/>
      <c r="U40" s="202"/>
      <c r="V40" s="793"/>
      <c r="W40" s="165"/>
      <c r="X40"/>
      <c r="Y40" s="163"/>
      <c r="AB40" s="494" t="s">
        <v>416</v>
      </c>
      <c r="AC40" s="497"/>
      <c r="AD40" s="495">
        <v>547222265.9000001</v>
      </c>
      <c r="AE40" s="496">
        <v>0.28409738055081868</v>
      </c>
      <c r="AF40" s="437"/>
      <c r="AG40" s="494" t="s">
        <v>341</v>
      </c>
      <c r="AH40" s="497"/>
      <c r="AI40" s="495">
        <v>251371968.81999996</v>
      </c>
      <c r="AJ40" s="496">
        <v>0.68000552871301378</v>
      </c>
      <c r="AP40" s="147"/>
      <c r="AQ40" s="163"/>
    </row>
    <row r="41" spans="7:43" ht="14.4">
      <c r="G41" s="804"/>
      <c r="H41" s="804" t="s">
        <v>351</v>
      </c>
      <c r="I41" s="804"/>
      <c r="J41" s="804"/>
      <c r="K41" s="804"/>
      <c r="L41" s="804"/>
      <c r="M41" s="804"/>
      <c r="N41" s="780">
        <f t="shared" ref="N41:N46" si="8">+AD66/1000</f>
        <v>78981.924610000002</v>
      </c>
      <c r="O41" s="912">
        <f t="shared" ref="O41:O46" si="9">+AE66</f>
        <v>0.31398701782921329</v>
      </c>
      <c r="P41" s="205"/>
      <c r="Q41" s="165"/>
      <c r="R41" s="806"/>
      <c r="S41" s="806" t="s">
        <v>351</v>
      </c>
      <c r="T41" s="806"/>
      <c r="U41" s="780">
        <f t="shared" ref="U41:U46" si="10">+AI66/1000</f>
        <v>21574.580910000004</v>
      </c>
      <c r="V41" s="912">
        <f t="shared" ref="V41:V46" si="11">+AJ66</f>
        <v>8.3797753990030782E-2</v>
      </c>
      <c r="W41" s="217"/>
      <c r="X41"/>
      <c r="Y41" s="163"/>
      <c r="AB41" s="494" t="s">
        <v>341</v>
      </c>
      <c r="AC41" s="497"/>
      <c r="AD41" s="495">
        <v>1265363681.7</v>
      </c>
      <c r="AE41" s="496">
        <v>0.65692960578618498</v>
      </c>
      <c r="AF41" s="437"/>
      <c r="AG41" s="494" t="s">
        <v>417</v>
      </c>
      <c r="AH41" s="497"/>
      <c r="AI41" s="495">
        <v>1000000</v>
      </c>
      <c r="AJ41" s="496">
        <v>2.7051764439174424E-3</v>
      </c>
      <c r="AP41" s="147"/>
      <c r="AQ41" s="163"/>
    </row>
    <row r="42" spans="7:43" ht="14.4">
      <c r="G42" s="804"/>
      <c r="H42" s="804" t="s">
        <v>355</v>
      </c>
      <c r="I42" s="804"/>
      <c r="J42" s="804"/>
      <c r="K42" s="804"/>
      <c r="L42" s="804"/>
      <c r="M42" s="804"/>
      <c r="N42" s="786">
        <f t="shared" si="8"/>
        <v>52418.478709999996</v>
      </c>
      <c r="O42" s="912">
        <f t="shared" si="9"/>
        <v>0.20838592995254948</v>
      </c>
      <c r="P42" s="205"/>
      <c r="Q42" s="165"/>
      <c r="R42" s="806"/>
      <c r="S42" s="806" t="s">
        <v>355</v>
      </c>
      <c r="T42" s="806"/>
      <c r="U42" s="786">
        <f t="shared" si="10"/>
        <v>141473.96027000001</v>
      </c>
      <c r="V42" s="912">
        <f t="shared" si="11"/>
        <v>0.54949851253916426</v>
      </c>
      <c r="W42" s="217"/>
      <c r="X42"/>
      <c r="Y42" s="220"/>
      <c r="AB42" s="494" t="s">
        <v>417</v>
      </c>
      <c r="AC42" s="497"/>
      <c r="AD42" s="495">
        <v>26829548.569999993</v>
      </c>
      <c r="AE42" s="496">
        <v>1.3928900457955506E-2</v>
      </c>
      <c r="AF42" s="437"/>
      <c r="AG42" s="494"/>
      <c r="AH42" s="494"/>
      <c r="AI42" s="495"/>
      <c r="AJ42" s="496"/>
      <c r="AP42" s="147"/>
      <c r="AQ42" s="163"/>
    </row>
    <row r="43" spans="7:43" ht="14.4">
      <c r="G43" s="804"/>
      <c r="H43" s="804" t="s">
        <v>366</v>
      </c>
      <c r="I43" s="804"/>
      <c r="J43" s="804"/>
      <c r="K43" s="804"/>
      <c r="L43" s="804"/>
      <c r="M43" s="804"/>
      <c r="N43" s="786">
        <f t="shared" si="8"/>
        <v>120144.78844000003</v>
      </c>
      <c r="O43" s="912">
        <f t="shared" si="9"/>
        <v>0.47762705221823726</v>
      </c>
      <c r="P43" s="205"/>
      <c r="Q43" s="165"/>
      <c r="R43" s="806"/>
      <c r="S43" s="806" t="s">
        <v>366</v>
      </c>
      <c r="T43" s="806"/>
      <c r="U43" s="786">
        <f t="shared" si="10"/>
        <v>75707.209830000007</v>
      </c>
      <c r="V43" s="912">
        <f t="shared" si="11"/>
        <v>0.29405410798341114</v>
      </c>
      <c r="W43" s="217"/>
      <c r="X43"/>
      <c r="Y43" s="220"/>
      <c r="AB43" s="494">
        <v>0</v>
      </c>
      <c r="AC43" s="494">
        <v>0</v>
      </c>
      <c r="AD43" s="495">
        <v>200615.88999999998</v>
      </c>
      <c r="AE43" s="496">
        <v>1.0415228399402593E-4</v>
      </c>
      <c r="AF43" s="437"/>
      <c r="AG43" s="494"/>
      <c r="AH43" s="494"/>
      <c r="AI43" s="495"/>
      <c r="AJ43" s="496"/>
      <c r="AP43" s="147"/>
      <c r="AQ43" s="163"/>
    </row>
    <row r="44" spans="7:43" ht="14.4">
      <c r="G44" s="804"/>
      <c r="H44" s="804" t="s">
        <v>362</v>
      </c>
      <c r="I44" s="807"/>
      <c r="J44" s="804"/>
      <c r="K44" s="804"/>
      <c r="L44" s="804"/>
      <c r="M44" s="804"/>
      <c r="N44" s="786">
        <f t="shared" si="8"/>
        <v>0</v>
      </c>
      <c r="O44" s="912">
        <f t="shared" si="9"/>
        <v>0</v>
      </c>
      <c r="P44" s="205"/>
      <c r="Q44" s="165"/>
      <c r="R44" s="806"/>
      <c r="S44" s="806" t="s">
        <v>362</v>
      </c>
      <c r="T44" s="806"/>
      <c r="U44" s="786">
        <f t="shared" si="10"/>
        <v>17568.372520000004</v>
      </c>
      <c r="V44" s="912">
        <f t="shared" si="11"/>
        <v>6.8237254043428702E-2</v>
      </c>
      <c r="W44" s="217"/>
      <c r="X44"/>
      <c r="Y44" s="220"/>
      <c r="AB44" s="498" t="s">
        <v>365</v>
      </c>
      <c r="AC44" s="499"/>
      <c r="AD44" s="500">
        <v>1926178498.5100002</v>
      </c>
      <c r="AE44" s="501">
        <v>1</v>
      </c>
      <c r="AF44" s="437"/>
      <c r="AG44" s="502" t="s">
        <v>365</v>
      </c>
      <c r="AH44" s="1093"/>
      <c r="AI44" s="503">
        <v>369661654.50999999</v>
      </c>
      <c r="AJ44" s="504">
        <v>1</v>
      </c>
      <c r="AP44" s="147"/>
      <c r="AQ44" s="163"/>
    </row>
    <row r="45" spans="7:43" ht="14.4">
      <c r="G45" s="804"/>
      <c r="H45" s="804" t="s">
        <v>395</v>
      </c>
      <c r="I45" s="807"/>
      <c r="J45" s="804"/>
      <c r="K45" s="804"/>
      <c r="L45" s="804"/>
      <c r="M45" s="804"/>
      <c r="N45" s="786">
        <f>+AD70/1000</f>
        <v>0</v>
      </c>
      <c r="O45" s="912">
        <f t="shared" si="9"/>
        <v>0</v>
      </c>
      <c r="P45" s="205"/>
      <c r="Q45" s="165"/>
      <c r="R45" s="806"/>
      <c r="S45" s="806" t="s">
        <v>395</v>
      </c>
      <c r="T45" s="806"/>
      <c r="U45" s="786">
        <f t="shared" si="10"/>
        <v>0</v>
      </c>
      <c r="V45" s="912">
        <f t="shared" si="11"/>
        <v>0</v>
      </c>
      <c r="W45" s="217"/>
      <c r="X45"/>
      <c r="Y45" s="163"/>
      <c r="AB45" s="437"/>
      <c r="AC45" s="437"/>
      <c r="AD45" s="437"/>
      <c r="AE45" s="437"/>
      <c r="AF45" s="437"/>
      <c r="AG45" s="437"/>
      <c r="AH45" s="437"/>
      <c r="AI45" s="437"/>
      <c r="AJ45" s="437"/>
      <c r="AP45" s="147"/>
      <c r="AQ45" s="163"/>
    </row>
    <row r="46" spans="7:43" ht="14.4">
      <c r="G46" s="804"/>
      <c r="H46" s="804" t="s">
        <v>396</v>
      </c>
      <c r="I46" s="807"/>
      <c r="J46" s="804"/>
      <c r="K46" s="804"/>
      <c r="L46" s="804"/>
      <c r="M46" s="804"/>
      <c r="N46" s="786">
        <f t="shared" si="8"/>
        <v>0</v>
      </c>
      <c r="O46" s="912">
        <f t="shared" si="9"/>
        <v>0</v>
      </c>
      <c r="P46" s="206"/>
      <c r="Q46" s="165"/>
      <c r="R46" s="806"/>
      <c r="S46" s="806" t="s">
        <v>396</v>
      </c>
      <c r="T46" s="806"/>
      <c r="U46" s="786">
        <f t="shared" si="10"/>
        <v>1136.00974</v>
      </c>
      <c r="V46" s="912">
        <f t="shared" si="11"/>
        <v>4.4123714439651112E-3</v>
      </c>
      <c r="W46" s="217"/>
      <c r="X46"/>
      <c r="Y46" s="163"/>
      <c r="AB46" s="437"/>
      <c r="AC46" s="437"/>
      <c r="AD46" s="437"/>
      <c r="AE46" s="437"/>
      <c r="AF46" s="437"/>
      <c r="AG46" s="437"/>
      <c r="AH46" s="437"/>
      <c r="AI46" s="437"/>
      <c r="AJ46" s="437"/>
      <c r="AP46" s="147"/>
      <c r="AQ46" s="163"/>
    </row>
    <row r="47" spans="7:43" ht="15" thickBot="1">
      <c r="G47" s="804"/>
      <c r="H47" s="804"/>
      <c r="I47" s="807" t="s">
        <v>407</v>
      </c>
      <c r="J47" s="804"/>
      <c r="K47" s="804"/>
      <c r="L47" s="804"/>
      <c r="N47" s="782">
        <f>SUM(N41:N46)</f>
        <v>251545.19176000002</v>
      </c>
      <c r="O47" s="915">
        <f>SUM(O41:O46)</f>
        <v>1</v>
      </c>
      <c r="P47" s="205"/>
      <c r="Q47" s="194"/>
      <c r="R47" s="804"/>
      <c r="S47" s="804"/>
      <c r="T47" s="807" t="s">
        <v>408</v>
      </c>
      <c r="U47" s="782">
        <f>SUM(U41:U46)</f>
        <v>257460.13327000002</v>
      </c>
      <c r="V47" s="915">
        <f>SUM(V41:V46)</f>
        <v>1</v>
      </c>
      <c r="W47" s="221"/>
      <c r="X47"/>
      <c r="Y47" s="163"/>
      <c r="AB47" s="437"/>
      <c r="AC47" s="437"/>
      <c r="AD47" s="437"/>
      <c r="AE47" s="437"/>
      <c r="AF47" s="437"/>
      <c r="AG47" s="437"/>
      <c r="AH47" s="437"/>
      <c r="AI47" s="437"/>
      <c r="AJ47" s="437"/>
      <c r="AP47" s="147"/>
      <c r="AQ47" s="163"/>
    </row>
    <row r="48" spans="7:43" ht="15" thickTop="1">
      <c r="G48" s="804"/>
      <c r="H48" s="804"/>
      <c r="I48" s="807"/>
      <c r="J48" s="804"/>
      <c r="K48" s="804"/>
      <c r="L48" s="804"/>
      <c r="M48" s="804"/>
      <c r="N48" s="218"/>
      <c r="O48" s="222"/>
      <c r="P48" s="205"/>
      <c r="Q48" s="194"/>
      <c r="R48" s="804"/>
      <c r="S48" s="804"/>
      <c r="T48" s="804"/>
      <c r="U48" s="218"/>
      <c r="V48" s="222"/>
      <c r="W48" s="222"/>
      <c r="X48"/>
      <c r="Y48" s="163"/>
      <c r="AB48" s="478" t="s">
        <v>341</v>
      </c>
      <c r="AC48" s="478" t="s">
        <v>360</v>
      </c>
      <c r="AD48" s="492"/>
      <c r="AE48" s="492"/>
      <c r="AF48" s="493"/>
      <c r="AG48" s="478" t="s">
        <v>341</v>
      </c>
      <c r="AH48" s="478" t="s">
        <v>358</v>
      </c>
      <c r="AI48" s="492"/>
      <c r="AJ48" s="492"/>
      <c r="AP48" s="147"/>
      <c r="AQ48" s="163"/>
    </row>
    <row r="49" spans="7:43" ht="15.6">
      <c r="G49" s="1175" t="s">
        <v>409</v>
      </c>
      <c r="H49" s="1175"/>
      <c r="I49" s="1175"/>
      <c r="J49" s="1175"/>
      <c r="K49" s="1175"/>
      <c r="L49" s="1175"/>
      <c r="M49" s="1175"/>
      <c r="N49" s="195"/>
      <c r="O49" s="195"/>
      <c r="P49" s="196"/>
      <c r="Q49" s="197"/>
      <c r="R49" s="841"/>
      <c r="S49" s="841"/>
      <c r="T49" s="841"/>
      <c r="U49" s="195"/>
      <c r="V49" s="195"/>
      <c r="W49" s="195"/>
      <c r="X49"/>
      <c r="Y49" s="195"/>
      <c r="AB49" s="493"/>
      <c r="AC49" s="493"/>
      <c r="AD49" s="493"/>
      <c r="AE49" s="493"/>
      <c r="AF49" s="493"/>
      <c r="AG49" s="493"/>
      <c r="AH49" s="493"/>
      <c r="AI49" s="493"/>
      <c r="AJ49" s="493"/>
      <c r="AM49" s="198"/>
      <c r="AN49" s="198"/>
      <c r="AO49" s="198"/>
      <c r="AP49" s="198"/>
      <c r="AQ49" s="195"/>
    </row>
    <row r="50" spans="7:43" ht="15.6">
      <c r="G50" s="832"/>
      <c r="H50" s="804"/>
      <c r="I50" s="804"/>
      <c r="J50" s="804"/>
      <c r="K50" s="804"/>
      <c r="L50" s="804"/>
      <c r="M50" s="804"/>
      <c r="N50" s="165"/>
      <c r="O50" s="165"/>
      <c r="P50" s="201"/>
      <c r="Q50" s="194"/>
      <c r="R50" s="804"/>
      <c r="S50" s="804"/>
      <c r="T50" s="804"/>
      <c r="U50" s="163"/>
      <c r="V50" s="163"/>
      <c r="W50" s="163"/>
      <c r="X50"/>
      <c r="Y50" s="561" t="s">
        <v>815</v>
      </c>
      <c r="AB50" s="480"/>
      <c r="AC50" s="481"/>
      <c r="AD50" s="480" t="s">
        <v>340</v>
      </c>
      <c r="AE50" s="482"/>
      <c r="AF50" s="493"/>
      <c r="AG50" s="480"/>
      <c r="AH50" s="481"/>
      <c r="AI50" s="480" t="s">
        <v>340</v>
      </c>
      <c r="AJ50" s="482"/>
    </row>
    <row r="51" spans="7:43" ht="14.4">
      <c r="G51" s="833"/>
      <c r="H51" s="834">
        <v>1</v>
      </c>
      <c r="I51" s="806"/>
      <c r="J51" s="806"/>
      <c r="K51" s="806"/>
      <c r="L51" s="806"/>
      <c r="M51" s="834"/>
      <c r="N51" s="1095">
        <v>1714419.9405100013</v>
      </c>
      <c r="O51" s="912">
        <v>0.56922798295099497</v>
      </c>
      <c r="P51" s="223"/>
      <c r="Q51" s="194"/>
      <c r="R51" s="804"/>
      <c r="S51" s="804"/>
      <c r="T51" s="804"/>
      <c r="U51" s="163"/>
      <c r="V51" s="163"/>
      <c r="W51" s="163"/>
      <c r="X51"/>
      <c r="Y51" s="561" t="s">
        <v>816</v>
      </c>
      <c r="AB51" s="480" t="s">
        <v>413</v>
      </c>
      <c r="AC51" s="480" t="s">
        <v>414</v>
      </c>
      <c r="AD51" s="480" t="s">
        <v>343</v>
      </c>
      <c r="AE51" s="483" t="s">
        <v>346</v>
      </c>
      <c r="AF51" s="493"/>
      <c r="AG51" s="480" t="s">
        <v>413</v>
      </c>
      <c r="AH51" s="480" t="s">
        <v>414</v>
      </c>
      <c r="AI51" s="480" t="s">
        <v>343</v>
      </c>
      <c r="AJ51" s="483" t="s">
        <v>346</v>
      </c>
    </row>
    <row r="52" spans="7:43" ht="14.4">
      <c r="G52" s="833"/>
      <c r="H52" s="834">
        <v>2</v>
      </c>
      <c r="I52" s="806"/>
      <c r="J52" s="806"/>
      <c r="K52" s="806"/>
      <c r="L52" s="806"/>
      <c r="M52" s="834"/>
      <c r="N52" s="786">
        <v>1268091.2674300002</v>
      </c>
      <c r="O52" s="912">
        <v>0.42103630347546045</v>
      </c>
      <c r="P52" s="223"/>
      <c r="Q52" s="194"/>
      <c r="R52" s="804"/>
      <c r="S52" s="804"/>
      <c r="T52" s="804"/>
      <c r="U52" s="163"/>
      <c r="V52" s="163"/>
      <c r="W52" s="163"/>
      <c r="X52"/>
      <c r="Y52" s="561"/>
      <c r="AB52" s="505">
        <v>1</v>
      </c>
      <c r="AC52" s="506"/>
      <c r="AD52" s="507">
        <v>22377977.210000001</v>
      </c>
      <c r="AE52" s="508">
        <v>0.26220376656555916</v>
      </c>
      <c r="AF52" s="493"/>
      <c r="AG52" s="494">
        <v>1</v>
      </c>
      <c r="AH52" s="494">
        <v>1</v>
      </c>
      <c r="AI52" s="495">
        <v>545228406.17000008</v>
      </c>
      <c r="AJ52" s="496">
        <v>0.77493949077800783</v>
      </c>
    </row>
    <row r="53" spans="7:43" ht="14.4">
      <c r="G53" s="833"/>
      <c r="H53" s="834">
        <v>3</v>
      </c>
      <c r="I53" s="806"/>
      <c r="J53" s="806"/>
      <c r="K53" s="806"/>
      <c r="L53" s="806"/>
      <c r="M53" s="834"/>
      <c r="N53" s="786">
        <v>25347.462199999994</v>
      </c>
      <c r="O53" s="912">
        <v>8.4159571643458823E-3</v>
      </c>
      <c r="P53" s="223"/>
      <c r="Q53" s="194"/>
      <c r="R53" s="804"/>
      <c r="S53" s="804"/>
      <c r="T53" s="804"/>
      <c r="U53" s="163"/>
      <c r="V53" s="163"/>
      <c r="W53" s="163"/>
      <c r="X53"/>
      <c r="Y53" s="561"/>
      <c r="AB53" s="494" t="s">
        <v>415</v>
      </c>
      <c r="AC53" s="497"/>
      <c r="AD53" s="495">
        <v>16993633.079999998</v>
      </c>
      <c r="AE53" s="496">
        <v>0.19911516395762222</v>
      </c>
      <c r="AF53" s="493"/>
      <c r="AG53" s="494" t="s">
        <v>415</v>
      </c>
      <c r="AH53" s="497"/>
      <c r="AI53" s="495">
        <v>158209890.61000007</v>
      </c>
      <c r="AJ53" s="496">
        <v>0.22486556217162798</v>
      </c>
    </row>
    <row r="54" spans="7:43" ht="14.4">
      <c r="G54" s="833"/>
      <c r="H54" s="834">
        <v>4</v>
      </c>
      <c r="I54" s="806"/>
      <c r="J54" s="806"/>
      <c r="K54" s="806"/>
      <c r="L54" s="806"/>
      <c r="M54" s="834"/>
      <c r="N54" s="786">
        <v>3974.8863699999997</v>
      </c>
      <c r="O54" s="912">
        <v>1.3197563195522705E-3</v>
      </c>
      <c r="P54" s="223"/>
      <c r="Q54" s="194"/>
      <c r="R54" s="804"/>
      <c r="S54" s="804"/>
      <c r="T54" s="804"/>
      <c r="U54" s="163"/>
      <c r="V54" s="163"/>
      <c r="W54" s="163"/>
      <c r="X54"/>
      <c r="Y54" s="561"/>
      <c r="AB54" s="494" t="s">
        <v>416</v>
      </c>
      <c r="AC54" s="497"/>
      <c r="AD54" s="495">
        <v>36584473.550000004</v>
      </c>
      <c r="AE54" s="496">
        <v>0.4286619238463365</v>
      </c>
      <c r="AF54" s="493"/>
      <c r="AG54" s="494" t="s">
        <v>416</v>
      </c>
      <c r="AH54" s="497"/>
      <c r="AI54" s="495">
        <v>0</v>
      </c>
      <c r="AJ54" s="496">
        <v>0</v>
      </c>
    </row>
    <row r="55" spans="7:43" ht="14.4">
      <c r="G55" s="833"/>
      <c r="H55" s="834">
        <v>5</v>
      </c>
      <c r="I55" s="806"/>
      <c r="J55" s="806"/>
      <c r="K55" s="806"/>
      <c r="L55" s="806"/>
      <c r="M55" s="834"/>
      <c r="N55" s="786">
        <v>0</v>
      </c>
      <c r="O55" s="912">
        <v>0</v>
      </c>
      <c r="P55" s="223"/>
      <c r="Q55" s="194"/>
      <c r="R55" s="804"/>
      <c r="S55" s="804"/>
      <c r="T55" s="804"/>
      <c r="U55" s="163"/>
      <c r="V55" s="163"/>
      <c r="W55" s="163"/>
      <c r="X55"/>
      <c r="Y55" s="561"/>
      <c r="AB55" s="494" t="s">
        <v>341</v>
      </c>
      <c r="AC55" s="497"/>
      <c r="AD55" s="495">
        <v>6192152.4900000002</v>
      </c>
      <c r="AE55" s="496">
        <v>7.2553729534623385E-2</v>
      </c>
      <c r="AF55" s="493"/>
      <c r="AG55" s="494" t="s">
        <v>341</v>
      </c>
      <c r="AH55" s="497"/>
      <c r="AI55" s="495">
        <v>0</v>
      </c>
      <c r="AJ55" s="496">
        <v>0</v>
      </c>
    </row>
    <row r="56" spans="7:43" ht="14.4">
      <c r="G56" s="833"/>
      <c r="H56" s="834">
        <v>6</v>
      </c>
      <c r="I56" s="806"/>
      <c r="J56" s="806"/>
      <c r="K56" s="806"/>
      <c r="L56" s="806"/>
      <c r="M56" s="834"/>
      <c r="N56" s="824">
        <v>0</v>
      </c>
      <c r="O56" s="916">
        <v>0</v>
      </c>
      <c r="P56" s="223"/>
      <c r="Q56" s="194"/>
      <c r="R56" s="804"/>
      <c r="S56" s="804"/>
      <c r="T56" s="804"/>
      <c r="U56" s="163"/>
      <c r="V56" s="163"/>
      <c r="W56" s="163"/>
      <c r="X56"/>
      <c r="Y56" s="561"/>
      <c r="AB56" s="498" t="s">
        <v>417</v>
      </c>
      <c r="AC56" s="499"/>
      <c r="AD56" s="500">
        <v>3197514.05</v>
      </c>
      <c r="AE56" s="501">
        <v>3.7465416095858808E-2</v>
      </c>
      <c r="AF56" s="493"/>
      <c r="AG56" s="498" t="s">
        <v>417</v>
      </c>
      <c r="AH56" s="499"/>
      <c r="AI56" s="500">
        <v>53018.89</v>
      </c>
      <c r="AJ56" s="501">
        <v>7.5356366530552018E-5</v>
      </c>
    </row>
    <row r="57" spans="7:43" ht="14.4">
      <c r="G57" s="833"/>
      <c r="H57" s="834"/>
      <c r="I57" s="809" t="s">
        <v>783</v>
      </c>
      <c r="J57" s="806"/>
      <c r="K57" s="806"/>
      <c r="L57" s="809"/>
      <c r="N57" s="786">
        <v>3011833.5567800016</v>
      </c>
      <c r="O57" s="912">
        <v>1</v>
      </c>
      <c r="P57" s="223"/>
      <c r="Q57" s="194"/>
      <c r="R57" s="804"/>
      <c r="S57" s="804"/>
      <c r="T57" s="804"/>
      <c r="U57" s="163"/>
      <c r="V57" s="163"/>
      <c r="W57" s="163"/>
      <c r="X57"/>
      <c r="Y57" s="561"/>
      <c r="AB57" s="498"/>
      <c r="AC57" s="499"/>
      <c r="AD57" s="500"/>
      <c r="AE57" s="501"/>
      <c r="AF57" s="493"/>
      <c r="AG57" s="509">
        <v>0</v>
      </c>
      <c r="AH57" s="510">
        <v>0</v>
      </c>
      <c r="AI57" s="511">
        <v>84141.07</v>
      </c>
      <c r="AJ57" s="512">
        <v>1.1959068383349471E-4</v>
      </c>
    </row>
    <row r="58" spans="7:43" ht="14.4">
      <c r="G58" s="833"/>
      <c r="H58" s="809" t="s">
        <v>784</v>
      </c>
      <c r="I58" s="806"/>
      <c r="J58" s="806"/>
      <c r="K58" s="806"/>
      <c r="L58" s="806"/>
      <c r="M58" s="834"/>
      <c r="N58" s="786">
        <v>661767.55513999937</v>
      </c>
      <c r="O58" s="217"/>
      <c r="P58" s="223"/>
      <c r="Q58" s="194"/>
      <c r="R58" s="804"/>
      <c r="S58" s="804"/>
      <c r="T58" s="804"/>
      <c r="U58" s="163"/>
      <c r="V58" s="163"/>
      <c r="W58" s="163"/>
      <c r="X58"/>
      <c r="Y58" s="561"/>
      <c r="AB58" s="513" t="s">
        <v>365</v>
      </c>
      <c r="AC58" s="514"/>
      <c r="AD58" s="515">
        <v>85345750.379999995</v>
      </c>
      <c r="AE58" s="516">
        <v>1</v>
      </c>
      <c r="AF58" s="493"/>
      <c r="AG58" s="493" t="s">
        <v>365</v>
      </c>
      <c r="AH58" s="493"/>
      <c r="AI58" s="511">
        <v>703575456.74000025</v>
      </c>
      <c r="AJ58" s="512">
        <v>1</v>
      </c>
    </row>
    <row r="59" spans="7:43" ht="14.4">
      <c r="G59" s="833"/>
      <c r="H59" s="809" t="s">
        <v>323</v>
      </c>
      <c r="I59" s="806"/>
      <c r="J59" s="806"/>
      <c r="K59" s="806"/>
      <c r="L59" s="806"/>
      <c r="M59" s="834"/>
      <c r="N59" s="786">
        <v>605135.69285999995</v>
      </c>
      <c r="O59" s="217"/>
      <c r="P59" s="223"/>
      <c r="Q59" s="224"/>
      <c r="R59" s="804"/>
      <c r="S59" s="804"/>
      <c r="T59" s="804"/>
      <c r="U59" s="163"/>
      <c r="V59" s="163"/>
      <c r="W59" s="163"/>
      <c r="X59"/>
      <c r="Y59" s="561"/>
      <c r="AB59" s="437"/>
      <c r="AC59" s="437"/>
      <c r="AD59" s="437"/>
      <c r="AE59" s="437"/>
      <c r="AF59" s="437"/>
      <c r="AG59" s="437"/>
      <c r="AH59" s="437"/>
      <c r="AI59" s="437"/>
      <c r="AJ59" s="437"/>
    </row>
    <row r="60" spans="7:43" ht="15" thickBot="1">
      <c r="G60" s="833"/>
      <c r="H60" s="806"/>
      <c r="I60" s="806"/>
      <c r="J60" s="835"/>
      <c r="K60" s="806"/>
      <c r="L60" s="806"/>
      <c r="M60" s="809" t="s">
        <v>328</v>
      </c>
      <c r="N60" s="1094">
        <v>4278736.8047800008</v>
      </c>
      <c r="O60" s="225"/>
      <c r="P60" s="223"/>
      <c r="Q60" s="226"/>
      <c r="R60" s="804"/>
      <c r="S60" s="804"/>
      <c r="T60" s="804"/>
      <c r="U60" s="163"/>
      <c r="V60" s="163"/>
      <c r="W60" s="163"/>
      <c r="X60"/>
      <c r="Y60" s="561"/>
      <c r="AB60" s="437"/>
      <c r="AC60" s="437"/>
      <c r="AD60" s="437"/>
      <c r="AE60" s="437"/>
      <c r="AF60" s="437"/>
      <c r="AG60" s="437"/>
      <c r="AH60" s="437"/>
      <c r="AI60" s="437"/>
      <c r="AJ60" s="437"/>
    </row>
    <row r="61" spans="7:43" ht="15" thickTop="1">
      <c r="G61" s="804"/>
      <c r="H61" s="804"/>
      <c r="I61" s="804"/>
      <c r="J61" s="804"/>
      <c r="K61" s="804"/>
      <c r="L61" s="804"/>
      <c r="M61" s="804"/>
      <c r="N61" s="227"/>
      <c r="O61" s="163"/>
      <c r="P61" s="228"/>
      <c r="Q61" s="163"/>
      <c r="R61" s="804"/>
      <c r="S61" s="804"/>
      <c r="T61" s="804"/>
      <c r="U61" s="163"/>
      <c r="V61" s="163"/>
      <c r="W61" s="163"/>
      <c r="X61"/>
      <c r="Y61" s="562"/>
      <c r="AB61" s="437"/>
      <c r="AC61" s="437"/>
      <c r="AD61" s="437"/>
      <c r="AE61" s="437"/>
      <c r="AF61" s="437"/>
      <c r="AG61" s="437"/>
      <c r="AH61" s="437"/>
      <c r="AI61" s="437"/>
      <c r="AJ61" s="437"/>
    </row>
    <row r="62" spans="7:43" ht="14.4">
      <c r="G62" s="836"/>
      <c r="H62" s="837"/>
      <c r="I62" s="836"/>
      <c r="J62" s="836"/>
      <c r="K62" s="838"/>
      <c r="L62" s="837"/>
      <c r="M62" s="836"/>
      <c r="N62" s="229"/>
      <c r="O62" s="229"/>
      <c r="P62" s="229"/>
      <c r="Q62" s="229"/>
      <c r="R62" s="845"/>
      <c r="S62" s="845"/>
      <c r="T62" s="845"/>
      <c r="U62" s="230"/>
      <c r="V62" s="230"/>
      <c r="W62" s="230"/>
      <c r="X62"/>
      <c r="Y62" s="231"/>
      <c r="AB62" s="478" t="s">
        <v>341</v>
      </c>
      <c r="AC62" s="478" t="s">
        <v>359</v>
      </c>
      <c r="AD62" s="492"/>
      <c r="AE62" s="492"/>
      <c r="AF62" s="493"/>
      <c r="AG62" s="478" t="s">
        <v>341</v>
      </c>
      <c r="AH62" s="478" t="s">
        <v>371</v>
      </c>
      <c r="AI62" s="492" t="s">
        <v>418</v>
      </c>
      <c r="AJ62" s="492"/>
    </row>
    <row r="63" spans="7:43" ht="14.4">
      <c r="G63" s="839" t="s">
        <v>42</v>
      </c>
      <c r="H63" s="1177" t="s">
        <v>410</v>
      </c>
      <c r="I63" s="1177"/>
      <c r="J63" s="1177"/>
      <c r="K63" s="1177"/>
      <c r="L63" s="1177"/>
      <c r="M63" s="1177"/>
      <c r="N63" s="1177"/>
      <c r="O63" s="1177"/>
      <c r="P63" s="1177"/>
      <c r="Q63" s="1177"/>
      <c r="R63" s="1177"/>
      <c r="S63" s="1177"/>
      <c r="T63" s="1177"/>
      <c r="U63" s="1177"/>
      <c r="V63" s="1177"/>
      <c r="W63" s="1177"/>
      <c r="X63" s="163"/>
      <c r="Y63" s="163"/>
      <c r="AB63" s="493"/>
      <c r="AC63" s="493"/>
      <c r="AD63" s="493"/>
      <c r="AE63" s="493"/>
      <c r="AF63" s="493"/>
      <c r="AG63" s="493"/>
      <c r="AH63" s="493"/>
      <c r="AI63" s="493"/>
      <c r="AJ63" s="493"/>
    </row>
    <row r="64" spans="7:43" ht="15" customHeight="1">
      <c r="G64" s="839" t="s">
        <v>44</v>
      </c>
      <c r="H64" s="1177" t="s">
        <v>411</v>
      </c>
      <c r="I64" s="1177"/>
      <c r="J64" s="1177"/>
      <c r="K64" s="1177"/>
      <c r="L64" s="1177"/>
      <c r="M64" s="1177"/>
      <c r="N64" s="1177"/>
      <c r="O64" s="1177"/>
      <c r="P64" s="1177"/>
      <c r="Q64" s="1177"/>
      <c r="R64" s="1177"/>
      <c r="S64" s="1177"/>
      <c r="T64" s="1177"/>
      <c r="U64" s="1177"/>
      <c r="V64" s="1177"/>
      <c r="W64" s="1177"/>
      <c r="X64" s="163"/>
      <c r="Y64" s="232"/>
      <c r="AB64" s="480"/>
      <c r="AC64" s="481"/>
      <c r="AD64" s="480" t="s">
        <v>340</v>
      </c>
      <c r="AE64" s="482"/>
      <c r="AF64" s="493"/>
      <c r="AG64" s="480"/>
      <c r="AH64" s="481"/>
      <c r="AI64" s="480" t="s">
        <v>340</v>
      </c>
      <c r="AJ64" s="482"/>
    </row>
    <row r="65" spans="7:36" ht="15" customHeight="1">
      <c r="G65" s="839" t="s">
        <v>211</v>
      </c>
      <c r="H65" s="1177" t="s">
        <v>412</v>
      </c>
      <c r="I65" s="1177"/>
      <c r="J65" s="1177"/>
      <c r="K65" s="1177"/>
      <c r="L65" s="1177"/>
      <c r="M65" s="1177"/>
      <c r="N65" s="1177"/>
      <c r="O65" s="1177"/>
      <c r="P65" s="1177"/>
      <c r="Q65" s="1177"/>
      <c r="R65" s="1177"/>
      <c r="S65" s="1177"/>
      <c r="T65" s="1177"/>
      <c r="U65" s="1177"/>
      <c r="V65" s="1177"/>
      <c r="W65" s="1177"/>
      <c r="X65" s="163"/>
      <c r="Y65" s="232"/>
      <c r="AB65" s="480" t="s">
        <v>413</v>
      </c>
      <c r="AC65" s="480" t="s">
        <v>414</v>
      </c>
      <c r="AD65" s="480" t="s">
        <v>343</v>
      </c>
      <c r="AE65" s="483" t="s">
        <v>346</v>
      </c>
      <c r="AF65" s="493"/>
      <c r="AG65" s="480" t="s">
        <v>413</v>
      </c>
      <c r="AH65" s="480" t="s">
        <v>414</v>
      </c>
      <c r="AI65" s="480" t="s">
        <v>343</v>
      </c>
      <c r="AJ65" s="483" t="s">
        <v>346</v>
      </c>
    </row>
    <row r="66" spans="7:36" ht="14.4">
      <c r="G66" s="804"/>
      <c r="H66" s="804"/>
      <c r="K66" s="840" t="s">
        <v>339</v>
      </c>
      <c r="L66" s="840"/>
      <c r="M66" s="840"/>
      <c r="N66" s="412"/>
      <c r="O66" s="412"/>
      <c r="P66" s="412"/>
      <c r="Q66" s="412"/>
      <c r="R66" s="840"/>
      <c r="S66" s="840"/>
      <c r="T66" s="840"/>
      <c r="U66" s="163"/>
      <c r="V66" s="163"/>
      <c r="W66" s="163"/>
      <c r="X66" s="163"/>
      <c r="Y66" s="163"/>
      <c r="AB66" s="494">
        <v>1</v>
      </c>
      <c r="AC66" s="497"/>
      <c r="AD66" s="495">
        <v>78981924.609999999</v>
      </c>
      <c r="AE66" s="496">
        <v>0.31398701782921329</v>
      </c>
      <c r="AF66" s="493"/>
      <c r="AG66" s="494">
        <v>1</v>
      </c>
      <c r="AH66" s="494">
        <v>1</v>
      </c>
      <c r="AI66" s="495">
        <v>21574580.910000004</v>
      </c>
      <c r="AJ66" s="496">
        <v>8.3797753990030782E-2</v>
      </c>
    </row>
    <row r="67" spans="7:36" ht="14.4">
      <c r="AB67" s="494" t="s">
        <v>415</v>
      </c>
      <c r="AC67" s="497"/>
      <c r="AD67" s="495">
        <v>52418478.709999993</v>
      </c>
      <c r="AE67" s="496">
        <v>0.20838592995254948</v>
      </c>
      <c r="AF67" s="493"/>
      <c r="AG67" s="494" t="s">
        <v>415</v>
      </c>
      <c r="AH67" s="497"/>
      <c r="AI67" s="495">
        <v>141473960.27000001</v>
      </c>
      <c r="AJ67" s="496">
        <v>0.54949851253916426</v>
      </c>
    </row>
    <row r="68" spans="7:36" ht="14.4">
      <c r="AB68" s="494" t="s">
        <v>416</v>
      </c>
      <c r="AC68" s="497"/>
      <c r="AD68" s="495">
        <v>120144788.44000003</v>
      </c>
      <c r="AE68" s="496">
        <v>0.47762705221823726</v>
      </c>
      <c r="AF68" s="493"/>
      <c r="AG68" s="494" t="s">
        <v>416</v>
      </c>
      <c r="AH68" s="497"/>
      <c r="AI68" s="495">
        <v>75707209.830000013</v>
      </c>
      <c r="AJ68" s="496">
        <v>0.29405410798341114</v>
      </c>
    </row>
    <row r="69" spans="7:36" ht="14.4">
      <c r="AB69" s="494"/>
      <c r="AC69" s="497"/>
      <c r="AD69" s="495"/>
      <c r="AE69" s="496"/>
      <c r="AF69" s="493"/>
      <c r="AG69" s="494" t="s">
        <v>341</v>
      </c>
      <c r="AH69" s="497"/>
      <c r="AI69" s="495">
        <v>17568372.520000003</v>
      </c>
      <c r="AJ69" s="496">
        <v>6.8237254043428702E-2</v>
      </c>
    </row>
    <row r="70" spans="7:36" ht="14.4">
      <c r="AB70" s="494" t="s">
        <v>417</v>
      </c>
      <c r="AC70" s="497"/>
      <c r="AD70" s="495">
        <v>0</v>
      </c>
      <c r="AE70" s="496">
        <v>0</v>
      </c>
      <c r="AF70" s="493"/>
      <c r="AG70" s="494" t="s">
        <v>417</v>
      </c>
      <c r="AH70" s="497"/>
      <c r="AI70" s="495">
        <v>0</v>
      </c>
      <c r="AJ70" s="496">
        <v>0</v>
      </c>
    </row>
    <row r="71" spans="7:36" ht="14.4">
      <c r="AB71" s="494">
        <v>0</v>
      </c>
      <c r="AC71" s="494">
        <v>0</v>
      </c>
      <c r="AD71" s="495"/>
      <c r="AE71" s="496"/>
      <c r="AF71" s="493"/>
      <c r="AG71" s="494">
        <v>0</v>
      </c>
      <c r="AH71" s="494">
        <v>0</v>
      </c>
      <c r="AI71" s="495">
        <v>1136009.74</v>
      </c>
      <c r="AJ71" s="496">
        <v>4.4123714439651112E-3</v>
      </c>
    </row>
    <row r="72" spans="7:36" ht="14.4">
      <c r="AB72" s="498" t="s">
        <v>365</v>
      </c>
      <c r="AC72" s="499"/>
      <c r="AD72" s="500">
        <v>251545191.76000002</v>
      </c>
      <c r="AE72" s="501">
        <v>1</v>
      </c>
      <c r="AF72" s="493"/>
      <c r="AG72" s="498" t="s">
        <v>365</v>
      </c>
      <c r="AH72" s="1082"/>
      <c r="AI72" s="500">
        <v>257460133.27000004</v>
      </c>
      <c r="AJ72" s="501">
        <v>1</v>
      </c>
    </row>
    <row r="102" spans="38:38" ht="15">
      <c r="AL102" s="198"/>
    </row>
  </sheetData>
  <sheetProtection formatCells="0"/>
  <mergeCells count="7">
    <mergeCell ref="H64:W64"/>
    <mergeCell ref="H65:W65"/>
    <mergeCell ref="H1:U1"/>
    <mergeCell ref="V1:W1"/>
    <mergeCell ref="G5:M5"/>
    <mergeCell ref="G49:M49"/>
    <mergeCell ref="H63:W63"/>
  </mergeCells>
  <pageMargins left="0.15" right="0.15" top="0.15" bottom="0.15" header="0" footer="0.15"/>
  <pageSetup scale="56" orientation="landscape" cellComments="asDisplayed" r:id="rId1"/>
  <headerFooter differentFirst="1" alignWithMargins="0">
    <oddFooter>Page &amp;P of &amp;N</oddFooter>
  </headerFooter>
  <customProperties>
    <customPr name="isReportSheetChang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99E-4F4C-4168-8A67-5CEA89335D40}">
  <sheetPr>
    <tabColor theme="4" tint="0.59999389629810485"/>
    <pageSetUpPr fitToPage="1"/>
  </sheetPr>
  <dimension ref="A1:AE72"/>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12" width="4.109375" style="654" customWidth="1"/>
    <col min="13" max="13" width="33.88671875" style="654" customWidth="1"/>
    <col min="14" max="21" width="12.6640625" style="146" customWidth="1"/>
    <col min="22" max="23" width="0.88671875" style="146" customWidth="1"/>
    <col min="24" max="29" width="12.6640625" style="146" customWidth="1"/>
    <col min="30" max="30" width="23.5546875" style="146" customWidth="1"/>
    <col min="31" max="31" width="4.109375" style="146" customWidth="1"/>
    <col min="32" max="16384" width="9.109375" style="146"/>
  </cols>
  <sheetData>
    <row r="1" spans="1:31" s="667" customFormat="1" ht="39.9" customHeight="1" thickBot="1">
      <c r="A1" s="666" t="str">
        <f>+Manual!A1</f>
        <v>Q2
2025</v>
      </c>
      <c r="B1" s="666" t="str">
        <f>+Manual!D1</f>
        <v>Q2
2026</v>
      </c>
      <c r="C1" s="666"/>
      <c r="D1" s="666"/>
      <c r="E1" s="666"/>
      <c r="F1" s="666"/>
      <c r="G1" s="653"/>
      <c r="H1" s="1143" t="s">
        <v>678</v>
      </c>
      <c r="I1" s="1143"/>
      <c r="J1" s="1143"/>
      <c r="K1" s="1143"/>
      <c r="L1" s="1143"/>
      <c r="M1" s="1143"/>
      <c r="N1" s="1143"/>
      <c r="O1" s="1143"/>
      <c r="P1" s="1143"/>
      <c r="Q1" s="1143"/>
      <c r="R1" s="1143"/>
      <c r="S1" s="1143"/>
      <c r="T1" s="1143"/>
      <c r="U1" s="1143"/>
      <c r="V1" s="1143"/>
      <c r="W1" s="1143"/>
      <c r="X1" s="1143"/>
      <c r="Y1" s="1143"/>
      <c r="Z1" s="1131" t="s">
        <v>752</v>
      </c>
      <c r="AA1" s="1131"/>
      <c r="AB1" s="1131"/>
      <c r="AC1" s="1131"/>
      <c r="AD1" s="1131"/>
      <c r="AE1" s="661"/>
    </row>
    <row r="2" spans="1:31" s="654" customFormat="1" ht="14.4">
      <c r="A2" s="656"/>
      <c r="B2" s="656"/>
      <c r="C2" s="656"/>
      <c r="D2" s="656"/>
      <c r="E2" s="656"/>
      <c r="F2" s="656"/>
      <c r="AE2" s="661"/>
    </row>
    <row r="3" spans="1:31" s="654" customFormat="1" ht="14.4">
      <c r="A3" s="656"/>
      <c r="B3" s="656"/>
      <c r="C3" s="656"/>
      <c r="D3" s="656"/>
      <c r="E3" s="656"/>
      <c r="F3" s="656"/>
      <c r="N3" s="739"/>
      <c r="O3" s="739"/>
      <c r="P3" s="739"/>
      <c r="Q3" s="739"/>
      <c r="R3" s="739"/>
      <c r="S3" s="739"/>
      <c r="T3" s="739"/>
      <c r="U3" s="739"/>
      <c r="V3" s="739"/>
      <c r="W3" s="873"/>
      <c r="X3" s="1145" t="str">
        <f>+_xlfn.CONCAT("YOY ",LEFT(Manual!$D$1,2))</f>
        <v>YOY Q2</v>
      </c>
      <c r="Y3" s="1145"/>
      <c r="AE3" s="661"/>
    </row>
    <row r="4" spans="1:31" s="654" customFormat="1" ht="28.2">
      <c r="A4" s="656"/>
      <c r="B4" s="656"/>
      <c r="C4" s="656"/>
      <c r="D4" s="656"/>
      <c r="E4" s="656"/>
      <c r="F4" s="656"/>
      <c r="G4" s="1180" t="s">
        <v>0</v>
      </c>
      <c r="H4" s="1180"/>
      <c r="I4" s="1180"/>
      <c r="J4" s="1180"/>
      <c r="K4" s="1180"/>
      <c r="L4" s="1180"/>
      <c r="M4" s="1180"/>
      <c r="N4" s="662" t="str">
        <f>+IS!N4</f>
        <v>Q1
2025</v>
      </c>
      <c r="O4" s="662" t="str">
        <f>+IS!O4</f>
        <v>Q2
2025</v>
      </c>
      <c r="P4" s="662" t="str">
        <f>+IS!P4</f>
        <v>Q3
2025</v>
      </c>
      <c r="Q4" s="662" t="str">
        <f>+IS!Q4</f>
        <v>Q4
2025</v>
      </c>
      <c r="R4" s="663" t="str">
        <f>+IS!R4</f>
        <v>Q1
2026</v>
      </c>
      <c r="S4" s="662" t="str">
        <f>+IS!S4</f>
        <v>Q2
2026</v>
      </c>
      <c r="T4" s="662" t="str">
        <f>+IS!T4</f>
        <v>Q3
2026</v>
      </c>
      <c r="U4" s="662" t="str">
        <f>+IS!U4</f>
        <v>Q4
2026</v>
      </c>
      <c r="V4" s="662"/>
      <c r="W4" s="663"/>
      <c r="X4" s="662" t="s">
        <v>151</v>
      </c>
      <c r="Y4" s="662" t="s">
        <v>152</v>
      </c>
      <c r="AE4" s="661"/>
    </row>
    <row r="5" spans="1:31" ht="15" customHeight="1">
      <c r="G5" s="1175" t="s">
        <v>419</v>
      </c>
      <c r="H5" s="1175"/>
      <c r="I5" s="1175"/>
      <c r="J5" s="1175"/>
      <c r="K5" s="1175"/>
      <c r="L5" s="1175"/>
      <c r="M5" s="1175"/>
      <c r="N5" s="163"/>
      <c r="O5" s="163"/>
      <c r="P5" s="163"/>
      <c r="Q5" s="163"/>
      <c r="R5" s="164"/>
      <c r="S5" s="163"/>
      <c r="T5" s="163"/>
      <c r="U5" s="163"/>
      <c r="V5" s="163"/>
      <c r="W5" s="164"/>
      <c r="X5" s="163"/>
      <c r="Y5" s="163"/>
      <c r="Z5" s="165"/>
      <c r="AA5" s="163"/>
      <c r="AB5" s="163"/>
      <c r="AC5" s="163"/>
      <c r="AD5" s="163"/>
      <c r="AE5"/>
    </row>
    <row r="6" spans="1:31" ht="14.4">
      <c r="G6" s="804"/>
      <c r="H6" s="807" t="s">
        <v>420</v>
      </c>
      <c r="I6" s="807"/>
      <c r="J6" s="804"/>
      <c r="K6" s="804"/>
      <c r="L6" s="804"/>
      <c r="M6" s="804"/>
      <c r="N6" s="846">
        <v>33513.300000000003</v>
      </c>
      <c r="O6" s="846">
        <v>34346</v>
      </c>
      <c r="P6" s="846">
        <v>35218</v>
      </c>
      <c r="Q6" s="846">
        <v>36130</v>
      </c>
      <c r="R6" s="847">
        <v>38133.4</v>
      </c>
      <c r="S6" s="846">
        <v>40394</v>
      </c>
      <c r="T6" s="846"/>
      <c r="U6" s="846"/>
      <c r="V6" s="570"/>
      <c r="W6" s="848"/>
      <c r="X6" s="570">
        <f>+SUMIF($N$4:$U$4,$B$1,$N6:$U6)-SUMIF($N$4:$U$4,$A$1,$N6:$U6)</f>
        <v>6048</v>
      </c>
      <c r="Y6" s="902">
        <f>IF(OR(ABS(IF(X6&lt;0,-ABS(X6/SUMIF($N$4:$U$4,$A$1,$N6:$U6)),ABS(X6/SUMIF($N$4:$U$4,$A$1,$N6:$U6))))&lt;minvar,ABS(IF(X6&lt;0,-ABS(X6/SUMIF($N$4:$U$4,$A$1,$N6:$U6)),ABS(X6/SUMIF($N$4:$U$4,$A$1,$N6:$U6))))&gt;maxvar)=TRUE,"nm",IF(X6&lt;0,-ABS(X6/SUMIF($N$4:$U$4,$A$1,$N6:$U6)),ABS(X6/SUMIF($N$4:$U$4,$A$1,$N6:$U6))))</f>
        <v>0.17609037442496944</v>
      </c>
      <c r="Z6" s="165"/>
      <c r="AA6" s="165"/>
      <c r="AB6" s="165"/>
      <c r="AC6" s="165"/>
      <c r="AD6" s="163"/>
      <c r="AE6"/>
    </row>
    <row r="7" spans="1:31" ht="15" customHeight="1">
      <c r="G7" s="804"/>
      <c r="H7" s="807" t="s">
        <v>421</v>
      </c>
      <c r="I7" s="807"/>
      <c r="J7" s="804"/>
      <c r="K7" s="804"/>
      <c r="L7" s="804"/>
      <c r="M7" s="804"/>
      <c r="N7" s="853">
        <v>14669.45</v>
      </c>
      <c r="O7" s="853">
        <v>14621</v>
      </c>
      <c r="P7" s="853">
        <v>14476</v>
      </c>
      <c r="Q7" s="853">
        <v>14278</v>
      </c>
      <c r="R7" s="854">
        <v>13223.4</v>
      </c>
      <c r="S7" s="853">
        <v>12862</v>
      </c>
      <c r="T7" s="853"/>
      <c r="U7" s="853"/>
      <c r="V7" s="574"/>
      <c r="W7" s="855"/>
      <c r="X7" s="574">
        <f t="shared" ref="X7:X16" si="0">+SUMIF($N$4:$U$4,$B$1,$N7:$U7)-SUMIF($N$4:$U$4,$A$1,$N7:$U7)</f>
        <v>-1759</v>
      </c>
      <c r="Y7" s="902">
        <f t="shared" ref="Y7:Y16" si="1">IF(OR(ABS(IF(X7&lt;0,-ABS(X7/SUMIF($N$4:$U$4,$A$1,$N7:$U7)),ABS(X7/SUMIF($N$4:$U$4,$A$1,$N7:$U7))))&lt;minvar,ABS(IF(X7&lt;0,-ABS(X7/SUMIF($N$4:$U$4,$A$1,$N7:$U7)),ABS(X7/SUMIF($N$4:$U$4,$A$1,$N7:$U7))))&gt;maxvar)=TRUE,"nm",IF(X7&lt;0,-ABS(X7/SUMIF($N$4:$U$4,$A$1,$N7:$U7)),ABS(X7/SUMIF($N$4:$U$4,$A$1,$N7:$U7))))</f>
        <v>-0.12030640859038369</v>
      </c>
      <c r="Z7" s="165"/>
      <c r="AA7" s="165"/>
      <c r="AB7" s="163"/>
      <c r="AC7" s="163"/>
      <c r="AD7" s="163"/>
      <c r="AE7"/>
    </row>
    <row r="8" spans="1:31" ht="15" customHeight="1">
      <c r="G8" s="804"/>
      <c r="H8" s="807" t="s">
        <v>422</v>
      </c>
      <c r="I8" s="804"/>
      <c r="J8" s="807"/>
      <c r="K8" s="804"/>
      <c r="L8" s="804"/>
      <c r="M8" s="804"/>
      <c r="N8" s="853">
        <v>314</v>
      </c>
      <c r="O8" s="853">
        <v>315</v>
      </c>
      <c r="P8" s="853">
        <v>318</v>
      </c>
      <c r="Q8" s="853">
        <v>321</v>
      </c>
      <c r="R8" s="854">
        <v>323</v>
      </c>
      <c r="S8" s="853">
        <v>329</v>
      </c>
      <c r="T8" s="853"/>
      <c r="U8" s="853"/>
      <c r="V8" s="574"/>
      <c r="W8" s="855"/>
      <c r="X8" s="574">
        <f t="shared" si="0"/>
        <v>14</v>
      </c>
      <c r="Y8" s="902">
        <f t="shared" si="1"/>
        <v>4.4444444444444446E-2</v>
      </c>
      <c r="Z8" s="165"/>
      <c r="AA8" s="167"/>
      <c r="AB8" s="167"/>
      <c r="AC8" s="167"/>
      <c r="AD8" s="167"/>
      <c r="AE8"/>
    </row>
    <row r="9" spans="1:31" ht="15" customHeight="1">
      <c r="G9" s="804"/>
      <c r="H9" s="861" t="s">
        <v>423</v>
      </c>
      <c r="I9" s="804"/>
      <c r="J9" s="807"/>
      <c r="K9" s="804"/>
      <c r="L9" s="804"/>
      <c r="M9" s="804"/>
      <c r="N9" s="853">
        <v>1857</v>
      </c>
      <c r="O9" s="853">
        <v>1736</v>
      </c>
      <c r="P9" s="853">
        <v>1659</v>
      </c>
      <c r="Q9" s="853">
        <v>1512</v>
      </c>
      <c r="R9" s="854">
        <v>0</v>
      </c>
      <c r="S9" s="853">
        <v>0</v>
      </c>
      <c r="T9" s="853"/>
      <c r="U9" s="853"/>
      <c r="V9" s="574"/>
      <c r="W9" s="855"/>
      <c r="X9" s="574">
        <f t="shared" si="0"/>
        <v>-1736</v>
      </c>
      <c r="Y9" s="902">
        <f t="shared" si="1"/>
        <v>-1</v>
      </c>
      <c r="Z9" s="165"/>
      <c r="AA9" s="167"/>
      <c r="AB9" s="167"/>
      <c r="AC9" s="167"/>
      <c r="AD9" s="167"/>
      <c r="AE9"/>
    </row>
    <row r="10" spans="1:31" ht="15" customHeight="1">
      <c r="G10" s="804"/>
      <c r="H10" s="861" t="s">
        <v>424</v>
      </c>
      <c r="I10" s="804"/>
      <c r="J10" s="807"/>
      <c r="K10" s="804"/>
      <c r="L10" s="804"/>
      <c r="M10" s="804"/>
      <c r="N10" s="853">
        <v>530</v>
      </c>
      <c r="O10" s="853">
        <v>182</v>
      </c>
      <c r="P10" s="853">
        <v>321</v>
      </c>
      <c r="Q10" s="853">
        <v>-466</v>
      </c>
      <c r="R10" s="854">
        <v>0</v>
      </c>
      <c r="S10" s="853">
        <v>0</v>
      </c>
      <c r="T10" s="853"/>
      <c r="U10" s="853"/>
      <c r="V10" s="574"/>
      <c r="W10" s="855"/>
      <c r="X10" s="574">
        <f t="shared" si="0"/>
        <v>-182</v>
      </c>
      <c r="Y10" s="902">
        <f t="shared" si="1"/>
        <v>-1</v>
      </c>
      <c r="Z10" s="165"/>
      <c r="AA10" s="163"/>
      <c r="AB10" s="163"/>
      <c r="AC10" s="163"/>
      <c r="AD10" s="163"/>
      <c r="AE10"/>
    </row>
    <row r="11" spans="1:31" ht="14.4">
      <c r="G11" s="804"/>
      <c r="H11" s="807" t="s">
        <v>425</v>
      </c>
      <c r="I11" s="804"/>
      <c r="J11" s="807"/>
      <c r="K11" s="804"/>
      <c r="L11" s="804"/>
      <c r="M11" s="804"/>
      <c r="N11" s="853">
        <v>1031.6000000000004</v>
      </c>
      <c r="O11" s="853">
        <v>482</v>
      </c>
      <c r="P11" s="853">
        <v>611</v>
      </c>
      <c r="Q11" s="853">
        <v>617</v>
      </c>
      <c r="R11" s="854">
        <v>673</v>
      </c>
      <c r="S11" s="853">
        <v>201</v>
      </c>
      <c r="T11" s="853"/>
      <c r="U11" s="853"/>
      <c r="V11" s="574"/>
      <c r="W11" s="855"/>
      <c r="X11" s="574">
        <f t="shared" si="0"/>
        <v>-281</v>
      </c>
      <c r="Y11" s="902">
        <f t="shared" si="1"/>
        <v>-0.58298755186721996</v>
      </c>
      <c r="Z11" s="165"/>
      <c r="AA11" s="163"/>
      <c r="AB11" s="163"/>
      <c r="AC11" s="163"/>
      <c r="AD11" s="163"/>
      <c r="AE11"/>
    </row>
    <row r="12" spans="1:31" ht="15" customHeight="1">
      <c r="G12" s="804"/>
      <c r="H12" s="804" t="s">
        <v>426</v>
      </c>
      <c r="I12" s="804"/>
      <c r="J12" s="807"/>
      <c r="K12" s="804"/>
      <c r="L12" s="804"/>
      <c r="M12" s="804"/>
      <c r="N12" s="856">
        <v>6519.4</v>
      </c>
      <c r="O12" s="856">
        <v>5959</v>
      </c>
      <c r="P12" s="856">
        <v>6340</v>
      </c>
      <c r="Q12" s="856">
        <v>6065</v>
      </c>
      <c r="R12" s="857">
        <v>6189.4</v>
      </c>
      <c r="S12" s="856">
        <v>4838</v>
      </c>
      <c r="T12" s="856"/>
      <c r="U12" s="856"/>
      <c r="V12" s="578"/>
      <c r="W12" s="579"/>
      <c r="X12" s="578">
        <f t="shared" si="0"/>
        <v>-1121</v>
      </c>
      <c r="Y12" s="902">
        <f t="shared" si="1"/>
        <v>-0.18811881188118812</v>
      </c>
      <c r="Z12" s="165"/>
      <c r="AA12" s="163"/>
      <c r="AB12" s="163"/>
      <c r="AC12" s="163"/>
      <c r="AD12" s="163"/>
      <c r="AE12"/>
    </row>
    <row r="13" spans="1:31" ht="15" customHeight="1">
      <c r="G13" s="862"/>
      <c r="H13" s="804"/>
      <c r="I13" s="804"/>
      <c r="J13" s="807"/>
      <c r="K13" s="804"/>
      <c r="L13" s="807" t="s">
        <v>427</v>
      </c>
      <c r="M13" s="804"/>
      <c r="N13" s="1113">
        <v>58434.75</v>
      </c>
      <c r="O13" s="853">
        <v>57641</v>
      </c>
      <c r="P13" s="853">
        <v>58943</v>
      </c>
      <c r="Q13" s="853">
        <v>58457</v>
      </c>
      <c r="R13" s="858">
        <v>58542.200000000004</v>
      </c>
      <c r="S13" s="853">
        <v>58624</v>
      </c>
      <c r="T13" s="853"/>
      <c r="U13" s="853"/>
      <c r="V13" s="574"/>
      <c r="W13" s="855"/>
      <c r="X13" s="574">
        <f t="shared" si="0"/>
        <v>983</v>
      </c>
      <c r="Y13" s="904">
        <f t="shared" si="1"/>
        <v>1.7053833209000537E-2</v>
      </c>
      <c r="Z13" s="168"/>
      <c r="AA13" s="168"/>
      <c r="AB13" s="168"/>
      <c r="AC13" s="168"/>
      <c r="AD13" s="168"/>
      <c r="AE13"/>
    </row>
    <row r="14" spans="1:31" ht="15" customHeight="1">
      <c r="G14" s="862"/>
      <c r="H14" s="807" t="s">
        <v>428</v>
      </c>
      <c r="I14" s="804"/>
      <c r="J14" s="807"/>
      <c r="K14" s="804"/>
      <c r="L14" s="804"/>
      <c r="M14" s="804"/>
      <c r="N14" s="853">
        <v>2094.6000000000004</v>
      </c>
      <c r="O14" s="853">
        <v>2092</v>
      </c>
      <c r="P14" s="853">
        <v>2036</v>
      </c>
      <c r="Q14" s="853">
        <v>2057</v>
      </c>
      <c r="R14" s="854">
        <v>2036.3999999999996</v>
      </c>
      <c r="S14" s="853">
        <v>2024</v>
      </c>
      <c r="T14" s="853"/>
      <c r="U14" s="853"/>
      <c r="V14" s="574"/>
      <c r="W14" s="855"/>
      <c r="X14" s="574">
        <f t="shared" si="0"/>
        <v>-68</v>
      </c>
      <c r="Y14" s="902">
        <f t="shared" si="1"/>
        <v>-3.2504780114722756E-2</v>
      </c>
      <c r="Z14" s="168"/>
      <c r="AA14" s="168"/>
      <c r="AB14" s="168"/>
      <c r="AC14" s="168"/>
      <c r="AD14" s="168"/>
      <c r="AE14"/>
    </row>
    <row r="15" spans="1:31" ht="15" customHeight="1">
      <c r="G15" s="862"/>
      <c r="H15" s="807" t="s">
        <v>429</v>
      </c>
      <c r="I15" s="804"/>
      <c r="J15" s="807"/>
      <c r="K15" s="804"/>
      <c r="L15" s="804"/>
      <c r="M15" s="804"/>
      <c r="N15" s="853">
        <v>14669.4</v>
      </c>
      <c r="O15" s="853">
        <v>14621</v>
      </c>
      <c r="P15" s="853">
        <v>14476</v>
      </c>
      <c r="Q15" s="853">
        <v>14278</v>
      </c>
      <c r="R15" s="854">
        <v>13223</v>
      </c>
      <c r="S15" s="853">
        <v>12862</v>
      </c>
      <c r="T15" s="853"/>
      <c r="U15" s="853"/>
      <c r="V15" s="574"/>
      <c r="W15" s="855"/>
      <c r="X15" s="574">
        <f t="shared" si="0"/>
        <v>-1759</v>
      </c>
      <c r="Y15" s="902">
        <f t="shared" si="1"/>
        <v>-0.12030640859038369</v>
      </c>
      <c r="Z15" s="169"/>
      <c r="AA15" s="168"/>
      <c r="AB15" s="168"/>
      <c r="AC15" s="168"/>
      <c r="AD15" s="168"/>
      <c r="AE15"/>
    </row>
    <row r="16" spans="1:31" ht="15" thickBot="1">
      <c r="G16" s="862"/>
      <c r="H16" s="804"/>
      <c r="I16" s="804"/>
      <c r="J16" s="807"/>
      <c r="K16" s="804"/>
      <c r="L16" s="807" t="s">
        <v>98</v>
      </c>
      <c r="M16" s="804"/>
      <c r="N16" s="849">
        <v>41670.75</v>
      </c>
      <c r="O16" s="849">
        <v>40928</v>
      </c>
      <c r="P16" s="849">
        <v>42431</v>
      </c>
      <c r="Q16" s="849">
        <v>42122</v>
      </c>
      <c r="R16" s="850">
        <v>43282.8</v>
      </c>
      <c r="S16" s="849">
        <v>43738</v>
      </c>
      <c r="T16" s="849"/>
      <c r="U16" s="849"/>
      <c r="V16" s="572"/>
      <c r="W16" s="573"/>
      <c r="X16" s="572">
        <f t="shared" si="0"/>
        <v>2810</v>
      </c>
      <c r="Y16" s="917">
        <f t="shared" si="1"/>
        <v>6.8657154026583261E-2</v>
      </c>
      <c r="Z16" s="168"/>
      <c r="AA16" s="168"/>
      <c r="AB16" s="168"/>
      <c r="AC16" s="168"/>
      <c r="AD16" s="168"/>
      <c r="AE16"/>
    </row>
    <row r="17" spans="7:31" ht="15" customHeight="1" thickTop="1">
      <c r="G17" s="862"/>
      <c r="H17" s="804"/>
      <c r="I17" s="804" t="s">
        <v>430</v>
      </c>
      <c r="J17" s="807"/>
      <c r="K17" s="804"/>
      <c r="L17" s="804"/>
      <c r="M17" s="804"/>
      <c r="N17" s="924">
        <v>4.2099999999999999E-2</v>
      </c>
      <c r="O17" s="924">
        <v>4.2599999999999999E-2</v>
      </c>
      <c r="P17" s="924">
        <v>4.2700000000000002E-2</v>
      </c>
      <c r="Q17" s="924">
        <v>4.2999999999999997E-2</v>
      </c>
      <c r="R17" s="925">
        <v>4.3900000000000002E-2</v>
      </c>
      <c r="S17" s="924">
        <v>4.4299999999999999E-2</v>
      </c>
      <c r="T17" s="924"/>
      <c r="U17" s="924"/>
      <c r="V17" s="170"/>
      <c r="W17" s="171"/>
      <c r="X17" s="172"/>
      <c r="Y17" s="172"/>
      <c r="Z17" s="168"/>
      <c r="AA17" s="173"/>
      <c r="AB17" s="173"/>
      <c r="AC17" s="173"/>
      <c r="AD17" s="173"/>
      <c r="AE17"/>
    </row>
    <row r="18" spans="7:31" ht="15" customHeight="1">
      <c r="G18" s="862"/>
      <c r="H18" s="804"/>
      <c r="I18" s="804" t="s">
        <v>431</v>
      </c>
      <c r="J18" s="807"/>
      <c r="K18" s="804"/>
      <c r="L18" s="804"/>
      <c r="M18" s="804"/>
      <c r="N18" s="924">
        <v>5.4699999999999999E-2</v>
      </c>
      <c r="O18" s="924">
        <v>5.6399999999999999E-2</v>
      </c>
      <c r="P18" s="924">
        <v>5.1499999999999997E-2</v>
      </c>
      <c r="Q18" s="924">
        <v>4.9200000000000001E-2</v>
      </c>
      <c r="R18" s="925">
        <v>0.05</v>
      </c>
      <c r="S18" s="924">
        <v>4.9399999999999999E-2</v>
      </c>
      <c r="T18" s="924"/>
      <c r="U18" s="924"/>
      <c r="V18" s="170"/>
      <c r="W18" s="171"/>
      <c r="X18" s="174"/>
      <c r="Y18" s="172"/>
      <c r="Z18" s="168"/>
      <c r="AA18" s="175"/>
      <c r="AB18" s="175"/>
      <c r="AC18" s="175"/>
      <c r="AD18" s="175"/>
      <c r="AE18"/>
    </row>
    <row r="19" spans="7:31" ht="14.4">
      <c r="G19" s="862"/>
      <c r="H19" s="804"/>
      <c r="I19" s="804"/>
      <c r="J19" s="807"/>
      <c r="K19" s="804"/>
      <c r="L19" s="804"/>
      <c r="M19" s="804"/>
      <c r="N19" s="170"/>
      <c r="O19" s="170"/>
      <c r="P19" s="170"/>
      <c r="Q19" s="170"/>
      <c r="R19" s="170"/>
      <c r="S19" s="170"/>
      <c r="T19" s="170"/>
      <c r="U19" s="170"/>
      <c r="V19" s="170"/>
      <c r="W19" s="170"/>
      <c r="X19" s="176"/>
      <c r="Y19" s="173"/>
      <c r="Z19" s="168"/>
      <c r="AA19" s="168"/>
      <c r="AB19" s="168"/>
      <c r="AC19" s="168"/>
      <c r="AD19" s="168"/>
      <c r="AE19"/>
    </row>
    <row r="20" spans="7:31" ht="15" customHeight="1">
      <c r="G20" s="862"/>
      <c r="H20" s="804"/>
      <c r="I20" s="804"/>
      <c r="J20" s="807"/>
      <c r="K20" s="804"/>
      <c r="L20" s="804"/>
      <c r="M20" s="804"/>
      <c r="N20" s="177"/>
      <c r="O20" s="177"/>
      <c r="P20" s="177"/>
      <c r="Q20" s="177"/>
      <c r="R20" s="177"/>
      <c r="S20" s="177"/>
      <c r="T20" s="565"/>
      <c r="U20" s="565"/>
      <c r="V20" s="178"/>
      <c r="W20" s="179"/>
      <c r="X20" s="180" t="str">
        <f>+X3</f>
        <v>YOY Q2</v>
      </c>
      <c r="Y20" s="168"/>
      <c r="Z20" s="168"/>
      <c r="AA20" s="168"/>
      <c r="AB20" s="168"/>
      <c r="AC20" s="168"/>
      <c r="AD20" s="168"/>
      <c r="AE20"/>
    </row>
    <row r="21" spans="7:31" ht="30" customHeight="1">
      <c r="G21" s="862"/>
      <c r="H21" s="804"/>
      <c r="I21" s="804"/>
      <c r="J21" s="807"/>
      <c r="K21" s="804"/>
      <c r="L21" s="804"/>
      <c r="M21" s="804"/>
      <c r="N21" s="181" t="str">
        <f>N4</f>
        <v>Q1
2025</v>
      </c>
      <c r="O21" s="181" t="str">
        <f t="shared" ref="O21:U21" si="2">O4</f>
        <v>Q2
2025</v>
      </c>
      <c r="P21" s="181" t="str">
        <f t="shared" si="2"/>
        <v>Q3
2025</v>
      </c>
      <c r="Q21" s="181" t="str">
        <f t="shared" si="2"/>
        <v>Q4
2025</v>
      </c>
      <c r="R21" s="182" t="str">
        <f t="shared" si="2"/>
        <v>Q1
2026</v>
      </c>
      <c r="S21" s="181" t="str">
        <f t="shared" ref="S21" si="3">S4</f>
        <v>Q2
2026</v>
      </c>
      <c r="T21" s="183" t="str">
        <f t="shared" si="2"/>
        <v>Q3
2026</v>
      </c>
      <c r="U21" s="161" t="str">
        <f t="shared" si="2"/>
        <v>Q4
2026</v>
      </c>
      <c r="V21" s="161"/>
      <c r="W21" s="162"/>
      <c r="X21" s="184" t="s">
        <v>432</v>
      </c>
      <c r="Y21" s="168"/>
      <c r="Z21" s="168"/>
      <c r="AA21" s="168"/>
      <c r="AB21" s="168"/>
      <c r="AC21" s="168"/>
      <c r="AD21" s="168"/>
      <c r="AE21"/>
    </row>
    <row r="22" spans="7:31" ht="15" customHeight="1">
      <c r="G22" s="1175" t="s">
        <v>433</v>
      </c>
      <c r="H22" s="1175"/>
      <c r="I22" s="1175"/>
      <c r="J22" s="1175"/>
      <c r="K22" s="1175"/>
      <c r="L22" s="1175"/>
      <c r="M22" s="1175"/>
      <c r="N22" s="163"/>
      <c r="O22" s="163"/>
      <c r="P22" s="163"/>
      <c r="Q22" s="163"/>
      <c r="R22" s="164"/>
      <c r="S22" s="163"/>
      <c r="T22" s="566"/>
      <c r="U22" s="294"/>
      <c r="V22" s="147"/>
      <c r="W22" s="186"/>
      <c r="X22" s="165"/>
      <c r="Y22" s="163"/>
      <c r="Z22" s="163"/>
      <c r="AA22" s="163"/>
      <c r="AB22" s="163"/>
      <c r="AC22" s="163"/>
      <c r="AD22" s="163"/>
      <c r="AE22"/>
    </row>
    <row r="23" spans="7:31" ht="15" customHeight="1">
      <c r="G23" s="862"/>
      <c r="H23" s="829" t="s">
        <v>321</v>
      </c>
      <c r="I23" s="804"/>
      <c r="J23" s="807"/>
      <c r="K23" s="804"/>
      <c r="L23" s="804"/>
      <c r="M23" s="804"/>
      <c r="N23" s="163"/>
      <c r="O23" s="163"/>
      <c r="P23" s="163"/>
      <c r="Q23" s="163"/>
      <c r="R23" s="164"/>
      <c r="S23" s="163"/>
      <c r="T23" s="566"/>
      <c r="U23" s="294"/>
      <c r="V23" s="147"/>
      <c r="W23" s="186"/>
      <c r="X23" s="168"/>
      <c r="Y23" s="168"/>
      <c r="Z23" s="168"/>
      <c r="AA23" s="168"/>
      <c r="AB23" s="168"/>
      <c r="AC23" s="168"/>
      <c r="AD23" s="168"/>
      <c r="AE23"/>
    </row>
    <row r="24" spans="7:31" ht="15" customHeight="1">
      <c r="G24" s="862"/>
      <c r="H24" s="804" t="s">
        <v>351</v>
      </c>
      <c r="I24" s="804"/>
      <c r="J24" s="807"/>
      <c r="K24" s="804"/>
      <c r="L24" s="804"/>
      <c r="M24" s="804"/>
      <c r="N24" s="920">
        <v>0.19</v>
      </c>
      <c r="O24" s="920">
        <v>0.19328069304498213</v>
      </c>
      <c r="P24" s="920">
        <v>0.19325014904135768</v>
      </c>
      <c r="Q24" s="920">
        <v>0.19662616503372451</v>
      </c>
      <c r="R24" s="921">
        <v>0.19157892669800128</v>
      </c>
      <c r="S24" s="920">
        <v>0.18408326010924808</v>
      </c>
      <c r="T24" s="920"/>
      <c r="U24" s="920"/>
      <c r="V24" s="825"/>
      <c r="W24" s="860"/>
      <c r="X24" s="918">
        <f t="shared" ref="X24:X30" si="4">+SUMIF($N$4:$U$4,$B$1,$N24:$U24)-SUMIF($N$4:$U$4,$A$1,$N24:$U24)</f>
        <v>-9.1974329357340512E-3</v>
      </c>
      <c r="Y24" s="168"/>
      <c r="Z24" s="168"/>
      <c r="AA24" s="168"/>
      <c r="AB24" s="168"/>
      <c r="AC24" s="168"/>
      <c r="AD24" s="168"/>
      <c r="AE24"/>
    </row>
    <row r="25" spans="7:31" ht="14.4">
      <c r="G25" s="862"/>
      <c r="H25" s="804" t="s">
        <v>355</v>
      </c>
      <c r="I25" s="804"/>
      <c r="J25" s="807"/>
      <c r="K25" s="804"/>
      <c r="L25" s="804"/>
      <c r="M25" s="804"/>
      <c r="N25" s="920">
        <v>0.13600000000000001</v>
      </c>
      <c r="O25" s="920">
        <v>0.13979782979223151</v>
      </c>
      <c r="P25" s="920">
        <v>0.14606129678133006</v>
      </c>
      <c r="Q25" s="920">
        <v>0.14850772076031449</v>
      </c>
      <c r="R25" s="921">
        <v>0.14002095957294861</v>
      </c>
      <c r="S25" s="920">
        <v>0.13564311247200175</v>
      </c>
      <c r="T25" s="920"/>
      <c r="U25" s="920"/>
      <c r="V25" s="825"/>
      <c r="W25" s="860"/>
      <c r="X25" s="918">
        <f t="shared" si="4"/>
        <v>-4.1547173202297616E-3</v>
      </c>
      <c r="Y25" s="168"/>
      <c r="Z25" s="168"/>
      <c r="AA25" s="168"/>
      <c r="AB25" s="168"/>
      <c r="AC25" s="168"/>
      <c r="AD25" s="168"/>
      <c r="AE25"/>
    </row>
    <row r="26" spans="7:31" ht="14.4">
      <c r="G26" s="862"/>
      <c r="H26" s="804" t="s">
        <v>366</v>
      </c>
      <c r="I26" s="804"/>
      <c r="J26" s="807"/>
      <c r="K26" s="804"/>
      <c r="L26" s="804"/>
      <c r="M26" s="804"/>
      <c r="N26" s="920">
        <v>0.245</v>
      </c>
      <c r="O26" s="920">
        <v>0.23810173482429384</v>
      </c>
      <c r="P26" s="920">
        <v>0.24032850543353043</v>
      </c>
      <c r="Q26" s="920">
        <v>0.2376247414471411</v>
      </c>
      <c r="R26" s="921">
        <v>0.25114003879612234</v>
      </c>
      <c r="S26" s="920">
        <v>0.24775438620217474</v>
      </c>
      <c r="T26" s="920"/>
      <c r="U26" s="920"/>
      <c r="V26" s="825"/>
      <c r="W26" s="860"/>
      <c r="X26" s="918">
        <f t="shared" si="4"/>
        <v>9.6526513778809053E-3</v>
      </c>
      <c r="Y26" s="168"/>
      <c r="Z26" s="168"/>
      <c r="AA26" s="168"/>
      <c r="AB26" s="168"/>
      <c r="AC26" s="168"/>
      <c r="AD26" s="168"/>
      <c r="AE26"/>
    </row>
    <row r="27" spans="7:31" ht="14.4">
      <c r="G27" s="862"/>
      <c r="H27" s="804" t="s">
        <v>362</v>
      </c>
      <c r="I27" s="804"/>
      <c r="J27" s="807"/>
      <c r="K27" s="804"/>
      <c r="L27" s="804"/>
      <c r="M27" s="804"/>
      <c r="N27" s="920">
        <v>0.41699999999999998</v>
      </c>
      <c r="O27" s="920">
        <v>0.41886818075476928</v>
      </c>
      <c r="P27" s="920">
        <v>0.41009479740262328</v>
      </c>
      <c r="Q27" s="920">
        <v>0.40631061376907501</v>
      </c>
      <c r="R27" s="921">
        <v>0.4078388535994717</v>
      </c>
      <c r="S27" s="920">
        <v>0.42360105960353756</v>
      </c>
      <c r="T27" s="920"/>
      <c r="U27" s="920"/>
      <c r="V27" s="825"/>
      <c r="W27" s="860"/>
      <c r="X27" s="918">
        <f t="shared" si="4"/>
        <v>4.7328788487682738E-3</v>
      </c>
      <c r="Y27" s="168"/>
      <c r="Z27" s="168"/>
      <c r="AA27" s="168"/>
      <c r="AB27" s="168"/>
      <c r="AC27" s="168"/>
      <c r="AD27" s="168"/>
      <c r="AE27"/>
    </row>
    <row r="28" spans="7:31" ht="14.4">
      <c r="G28" s="862"/>
      <c r="H28" s="804" t="s">
        <v>395</v>
      </c>
      <c r="I28" s="804"/>
      <c r="J28" s="807"/>
      <c r="K28" s="804"/>
      <c r="L28" s="804"/>
      <c r="M28" s="804"/>
      <c r="N28" s="920">
        <v>1.0999999999999999E-2</v>
      </c>
      <c r="O28" s="920">
        <v>8.9610462008716529E-3</v>
      </c>
      <c r="P28" s="920">
        <v>9.4136833577165412E-3</v>
      </c>
      <c r="Q28" s="920">
        <v>1.0799922738592682E-2</v>
      </c>
      <c r="R28" s="921">
        <v>8.7291669723491196E-3</v>
      </c>
      <c r="S28" s="920">
        <v>8.5283254659463802E-3</v>
      </c>
      <c r="T28" s="920"/>
      <c r="U28" s="920"/>
      <c r="V28" s="825"/>
      <c r="W28" s="860"/>
      <c r="X28" s="918">
        <f t="shared" si="4"/>
        <v>-4.327207349252727E-4</v>
      </c>
      <c r="Y28" s="168"/>
      <c r="Z28" s="168"/>
      <c r="AA28" s="168"/>
      <c r="AB28" s="168"/>
      <c r="AC28" s="168"/>
      <c r="AD28" s="168"/>
      <c r="AE28"/>
    </row>
    <row r="29" spans="7:31" ht="14.4">
      <c r="G29" s="862"/>
      <c r="H29" s="804" t="s">
        <v>396</v>
      </c>
      <c r="I29" s="804"/>
      <c r="J29" s="807"/>
      <c r="K29" s="804"/>
      <c r="L29" s="804"/>
      <c r="M29" s="804"/>
      <c r="N29" s="922">
        <v>1E-3</v>
      </c>
      <c r="O29" s="922">
        <v>9.9051538285158352E-4</v>
      </c>
      <c r="P29" s="922">
        <v>8.5156798344200081E-4</v>
      </c>
      <c r="Q29" s="922">
        <v>1.3083625115222554E-4</v>
      </c>
      <c r="R29" s="921">
        <v>6.9205436110699012E-4</v>
      </c>
      <c r="S29" s="922">
        <v>3.8985614709150743E-4</v>
      </c>
      <c r="T29" s="922"/>
      <c r="U29" s="922"/>
      <c r="V29" s="825"/>
      <c r="W29" s="860"/>
      <c r="X29" s="918">
        <f t="shared" si="4"/>
        <v>-6.0065923576007609E-4</v>
      </c>
      <c r="Y29" s="168"/>
      <c r="Z29" s="168"/>
      <c r="AA29" s="168"/>
      <c r="AB29" s="168"/>
      <c r="AC29" s="168"/>
      <c r="AD29" s="168"/>
      <c r="AE29"/>
    </row>
    <row r="30" spans="7:31" ht="14.4">
      <c r="G30" s="862"/>
      <c r="H30" s="803"/>
      <c r="I30" s="803"/>
      <c r="J30" s="803"/>
      <c r="K30" s="803"/>
      <c r="L30" s="803"/>
      <c r="M30" s="804" t="s">
        <v>325</v>
      </c>
      <c r="N30" s="920">
        <v>1</v>
      </c>
      <c r="O30" s="920">
        <v>1</v>
      </c>
      <c r="P30" s="920">
        <v>1</v>
      </c>
      <c r="Q30" s="920">
        <v>0.99999999999999989</v>
      </c>
      <c r="R30" s="923">
        <v>1</v>
      </c>
      <c r="S30" s="920">
        <v>1</v>
      </c>
      <c r="T30" s="920"/>
      <c r="U30" s="920"/>
      <c r="V30" s="825"/>
      <c r="W30" s="860"/>
      <c r="X30" s="919">
        <f t="shared" si="4"/>
        <v>0</v>
      </c>
      <c r="Y30" s="168"/>
      <c r="Z30" s="168"/>
      <c r="AA30" s="168"/>
      <c r="AB30" s="168"/>
      <c r="AC30" s="168"/>
      <c r="AD30" s="168"/>
      <c r="AE30"/>
    </row>
    <row r="31" spans="7:31" ht="14.4">
      <c r="G31" s="862"/>
      <c r="H31" s="803"/>
      <c r="I31" s="803"/>
      <c r="J31" s="803"/>
      <c r="K31" s="803"/>
      <c r="L31" s="803"/>
      <c r="M31" s="804"/>
      <c r="N31" s="517"/>
      <c r="O31" s="517"/>
      <c r="P31" s="517"/>
      <c r="Q31" s="518"/>
      <c r="R31" s="519"/>
      <c r="S31" s="517"/>
      <c r="T31" s="567"/>
      <c r="U31" s="520"/>
      <c r="V31" s="188"/>
      <c r="W31" s="188"/>
      <c r="X31" s="168"/>
      <c r="Y31" s="168"/>
      <c r="Z31" s="168"/>
      <c r="AA31" s="168"/>
      <c r="AB31" s="168"/>
      <c r="AC31" s="168"/>
      <c r="AD31" s="168"/>
      <c r="AE31"/>
    </row>
    <row r="32" spans="7:31" ht="14.4">
      <c r="G32" s="862"/>
      <c r="H32" s="803"/>
      <c r="I32" s="803"/>
      <c r="J32" s="803"/>
      <c r="K32" s="803"/>
      <c r="L32" s="803"/>
      <c r="M32" s="807" t="s">
        <v>434</v>
      </c>
      <c r="N32" s="521" t="s">
        <v>366</v>
      </c>
      <c r="O32" s="521" t="s">
        <v>366</v>
      </c>
      <c r="P32" s="521" t="s">
        <v>366</v>
      </c>
      <c r="Q32" s="521" t="s">
        <v>366</v>
      </c>
      <c r="R32" s="522" t="s">
        <v>366</v>
      </c>
      <c r="S32" s="521" t="s">
        <v>366</v>
      </c>
      <c r="T32" s="523"/>
      <c r="U32" s="523"/>
      <c r="V32" s="189"/>
      <c r="W32" s="189"/>
      <c r="X32" s="173"/>
      <c r="Y32" s="168"/>
      <c r="Z32" s="168"/>
      <c r="AA32" s="168"/>
      <c r="AB32" s="168"/>
      <c r="AC32" s="168"/>
      <c r="AD32" s="168"/>
      <c r="AE32"/>
    </row>
    <row r="33" spans="1:31" ht="15" thickBot="1">
      <c r="G33" s="863"/>
      <c r="H33" s="864"/>
      <c r="I33" s="864"/>
      <c r="J33" s="864"/>
      <c r="K33" s="864"/>
      <c r="L33" s="864"/>
      <c r="M33" s="865"/>
      <c r="N33" s="190"/>
      <c r="O33" s="190"/>
      <c r="P33" s="190"/>
      <c r="Q33" s="191"/>
      <c r="R33" s="191"/>
      <c r="S33" s="191"/>
      <c r="T33" s="191"/>
      <c r="U33" s="191"/>
      <c r="V33" s="191"/>
      <c r="W33" s="191"/>
      <c r="X33" s="191"/>
      <c r="Y33" s="192"/>
      <c r="Z33" s="192"/>
      <c r="AA33" s="192"/>
      <c r="AB33" s="192"/>
      <c r="AC33" s="192"/>
      <c r="AD33" s="192"/>
      <c r="AE33"/>
    </row>
    <row r="34" spans="1:31" ht="14.4">
      <c r="G34" s="866"/>
      <c r="H34" s="867"/>
      <c r="I34" s="867"/>
      <c r="J34" s="867"/>
      <c r="K34" s="867"/>
      <c r="L34" s="867"/>
      <c r="M34" s="868"/>
      <c r="N34" s="517"/>
      <c r="O34" s="517"/>
      <c r="P34" s="517"/>
      <c r="Q34" s="517"/>
      <c r="R34" s="517"/>
      <c r="S34" s="517"/>
      <c r="T34" s="517"/>
      <c r="U34" s="517"/>
      <c r="V34" s="517"/>
      <c r="W34" s="517"/>
      <c r="X34" s="517"/>
      <c r="Y34" s="552"/>
      <c r="Z34" s="517"/>
      <c r="AA34" s="517"/>
      <c r="AB34" s="517"/>
      <c r="AC34" s="517"/>
      <c r="AD34" s="517"/>
      <c r="AE34" s="493"/>
    </row>
    <row r="35" spans="1:31" s="654" customFormat="1" ht="14.4">
      <c r="A35" s="656"/>
      <c r="B35" s="656"/>
      <c r="C35" s="656"/>
      <c r="D35" s="656"/>
      <c r="E35" s="656"/>
      <c r="F35" s="656"/>
      <c r="G35" s="717"/>
      <c r="H35" s="655"/>
      <c r="I35" s="655"/>
      <c r="J35" s="655"/>
      <c r="K35" s="655"/>
      <c r="L35" s="655"/>
      <c r="M35" s="655"/>
      <c r="N35" s="1181" t="str">
        <f>+_xlfn.CONCAT("As of ",CHOOSE(RIGHT(LEFT(B1,2),1),"March 31, ","June 30, ","September 30, ","December 31, "),RIGHT(B1,4))</f>
        <v>As of June 30, 2026</v>
      </c>
      <c r="O35" s="1182"/>
      <c r="P35" s="1182"/>
      <c r="Q35" s="874"/>
      <c r="R35" s="717"/>
      <c r="S35" s="655"/>
      <c r="T35" s="1183" t="str">
        <f>+_xlfn.CONCAT("As of ",CHOOSE(RIGHT(LEFT(B1,2),1),"March 31, ","June 30, ","September 30, ","December 31, "),RIGHT(B1,4))</f>
        <v>As of June 30, 2026</v>
      </c>
      <c r="U35" s="1184"/>
      <c r="V35" s="655"/>
      <c r="W35" s="655"/>
      <c r="Y35" s="655"/>
      <c r="Z35" s="655"/>
      <c r="AA35" s="655"/>
      <c r="AB35" s="1183" t="str">
        <f>+_xlfn.CONCAT("As of ",CHOOSE(RIGHT(LEFT(B1,2),1),"March 31, ","June 30, ","September 30, ","December 31, "),RIGHT(B1,4))</f>
        <v>As of June 30, 2026</v>
      </c>
      <c r="AC35" s="1184"/>
      <c r="AD35" s="868"/>
      <c r="AE35" s="875"/>
    </row>
    <row r="36" spans="1:31" s="654" customFormat="1" ht="28.2">
      <c r="A36" s="656"/>
      <c r="B36" s="656"/>
      <c r="C36" s="656"/>
      <c r="D36" s="656"/>
      <c r="E36" s="656"/>
      <c r="F36" s="656"/>
      <c r="G36" s="717"/>
      <c r="H36" s="655"/>
      <c r="I36" s="655"/>
      <c r="J36" s="655"/>
      <c r="K36" s="655"/>
      <c r="L36" s="655"/>
      <c r="M36" s="655"/>
      <c r="N36" s="662" t="s">
        <v>792</v>
      </c>
      <c r="O36" s="662" t="s">
        <v>793</v>
      </c>
      <c r="P36" s="662" t="s">
        <v>794</v>
      </c>
      <c r="Q36" s="876"/>
      <c r="R36" s="717"/>
      <c r="S36" s="655"/>
      <c r="T36" s="662" t="s">
        <v>792</v>
      </c>
      <c r="U36" s="662" t="s">
        <v>793</v>
      </c>
      <c r="V36" s="655"/>
      <c r="W36" s="655"/>
      <c r="X36" s="685"/>
      <c r="Y36" s="655"/>
      <c r="Z36" s="655"/>
      <c r="AA36" s="655"/>
      <c r="AB36" s="662" t="s">
        <v>792</v>
      </c>
      <c r="AC36" s="662" t="s">
        <v>793</v>
      </c>
      <c r="AD36" s="868"/>
      <c r="AE36" s="875"/>
    </row>
    <row r="37" spans="1:31" ht="14.4">
      <c r="G37" s="869" t="s">
        <v>795</v>
      </c>
      <c r="H37" s="870"/>
      <c r="I37" s="870"/>
      <c r="J37" s="870"/>
      <c r="K37" s="870"/>
      <c r="L37" s="870"/>
      <c r="M37" s="870"/>
      <c r="N37" s="310"/>
      <c r="O37" s="310"/>
      <c r="P37" s="310"/>
      <c r="Q37" s="310"/>
      <c r="R37" s="877" t="s">
        <v>813</v>
      </c>
      <c r="S37" s="870"/>
      <c r="T37" s="147"/>
      <c r="U37" s="147"/>
      <c r="V37" s="310"/>
      <c r="W37" s="310"/>
      <c r="X37" s="342"/>
      <c r="Y37" s="877" t="s">
        <v>814</v>
      </c>
      <c r="Z37" s="870"/>
      <c r="AA37" s="870"/>
      <c r="AB37" s="147"/>
      <c r="AC37" s="342"/>
      <c r="AD37" s="558"/>
      <c r="AE37" s="493"/>
    </row>
    <row r="38" spans="1:31" ht="14.4">
      <c r="G38" s="655"/>
      <c r="H38" s="655"/>
      <c r="I38" s="655"/>
      <c r="J38" s="655"/>
      <c r="K38" s="655"/>
      <c r="L38" s="655"/>
      <c r="M38" s="655"/>
      <c r="N38" s="147"/>
      <c r="O38" s="147"/>
      <c r="P38" s="147"/>
      <c r="Q38" s="147"/>
      <c r="R38" s="655"/>
      <c r="S38" s="655"/>
      <c r="T38" s="147"/>
      <c r="U38" s="147"/>
      <c r="V38" s="147"/>
      <c r="W38" s="147"/>
      <c r="X38" s="147"/>
      <c r="Y38" s="655"/>
      <c r="Z38" s="655"/>
      <c r="AA38" s="655"/>
      <c r="AB38" s="147"/>
      <c r="AC38" s="147"/>
      <c r="AD38" s="552"/>
      <c r="AE38" s="493"/>
    </row>
    <row r="39" spans="1:31" ht="14.4">
      <c r="G39" s="655"/>
      <c r="H39" s="871">
        <v>1</v>
      </c>
      <c r="I39" s="683" t="s">
        <v>818</v>
      </c>
      <c r="J39" s="683"/>
      <c r="K39" s="683"/>
      <c r="L39" s="683"/>
      <c r="M39" s="683"/>
      <c r="N39" s="851">
        <v>15117.492400000001</v>
      </c>
      <c r="O39" s="851">
        <v>15454.762219999997</v>
      </c>
      <c r="P39" s="173" t="s">
        <v>362</v>
      </c>
      <c r="Q39" s="173"/>
      <c r="R39" s="683" t="s">
        <v>250</v>
      </c>
      <c r="S39" s="655"/>
      <c r="T39" s="570">
        <v>90186.30833</v>
      </c>
      <c r="U39" s="570">
        <v>94229.470889999997</v>
      </c>
      <c r="V39" s="147"/>
      <c r="W39" s="147"/>
      <c r="X39" s="155"/>
      <c r="Y39" s="879" t="s">
        <v>351</v>
      </c>
      <c r="Z39" s="655"/>
      <c r="AA39" s="655"/>
      <c r="AB39" s="570">
        <v>0</v>
      </c>
      <c r="AC39" s="570">
        <v>0</v>
      </c>
      <c r="AD39" s="552"/>
      <c r="AE39" s="493"/>
    </row>
    <row r="40" spans="1:31" ht="14.4">
      <c r="G40" s="655"/>
      <c r="H40" s="871">
        <v>2</v>
      </c>
      <c r="I40" s="683" t="s">
        <v>796</v>
      </c>
      <c r="J40" s="683"/>
      <c r="K40" s="683"/>
      <c r="L40" s="683"/>
      <c r="M40" s="655"/>
      <c r="N40" s="786">
        <v>14567.815929998998</v>
      </c>
      <c r="O40" s="786">
        <v>15022.286559999999</v>
      </c>
      <c r="P40" s="370" t="s">
        <v>353</v>
      </c>
      <c r="Q40" s="173"/>
      <c r="R40" s="683" t="s">
        <v>797</v>
      </c>
      <c r="S40" s="655"/>
      <c r="T40" s="574">
        <v>45239.224969999996</v>
      </c>
      <c r="U40" s="574">
        <v>44675.883129999995</v>
      </c>
      <c r="V40" s="147"/>
      <c r="W40" s="147"/>
      <c r="X40" s="153"/>
      <c r="Y40" s="879" t="s">
        <v>355</v>
      </c>
      <c r="Z40" s="655"/>
      <c r="AA40" s="655"/>
      <c r="AB40" s="574">
        <v>0</v>
      </c>
      <c r="AC40" s="574">
        <v>0</v>
      </c>
      <c r="AD40" s="552"/>
      <c r="AE40" s="493"/>
    </row>
    <row r="41" spans="1:31" ht="14.4">
      <c r="G41" s="655"/>
      <c r="H41" s="871">
        <v>3</v>
      </c>
      <c r="I41" s="683" t="s">
        <v>800</v>
      </c>
      <c r="J41" s="683"/>
      <c r="K41" s="683"/>
      <c r="L41" s="683"/>
      <c r="M41" s="683"/>
      <c r="N41" s="786">
        <v>13622.044639999998</v>
      </c>
      <c r="O41" s="786">
        <v>13744.294259999999</v>
      </c>
      <c r="P41" s="173" t="s">
        <v>511</v>
      </c>
      <c r="Q41" s="173"/>
      <c r="R41" s="683" t="s">
        <v>799</v>
      </c>
      <c r="S41" s="655"/>
      <c r="T41" s="574">
        <v>27845.75906</v>
      </c>
      <c r="U41" s="574">
        <v>28178.248509999998</v>
      </c>
      <c r="V41" s="147"/>
      <c r="W41" s="554"/>
      <c r="X41" s="153"/>
      <c r="Y41" s="879" t="s">
        <v>366</v>
      </c>
      <c r="Z41" s="655"/>
      <c r="AA41" s="655"/>
      <c r="AB41" s="574">
        <v>11510.255279999999</v>
      </c>
      <c r="AC41" s="574">
        <v>12453.9684</v>
      </c>
      <c r="AD41" s="552"/>
      <c r="AE41" s="493"/>
    </row>
    <row r="42" spans="1:31" ht="14.4">
      <c r="G42" s="655"/>
      <c r="H42" s="871">
        <v>4</v>
      </c>
      <c r="I42" s="683" t="s">
        <v>827</v>
      </c>
      <c r="J42" s="683"/>
      <c r="K42" s="683"/>
      <c r="L42" s="683"/>
      <c r="M42" s="683"/>
      <c r="N42" s="786">
        <v>13611.79701</v>
      </c>
      <c r="O42" s="786">
        <v>13961.103080000001</v>
      </c>
      <c r="P42" s="346" t="s">
        <v>435</v>
      </c>
      <c r="Q42" s="173"/>
      <c r="R42" s="683" t="s">
        <v>841</v>
      </c>
      <c r="S42" s="655"/>
      <c r="T42" s="574">
        <v>24987.801329999002</v>
      </c>
      <c r="U42" s="574">
        <v>25181.930520000002</v>
      </c>
      <c r="V42" s="147"/>
      <c r="W42" s="554"/>
      <c r="X42" s="153"/>
      <c r="Y42" s="879" t="s">
        <v>362</v>
      </c>
      <c r="Z42" s="655"/>
      <c r="AA42" s="655"/>
      <c r="AB42" s="574">
        <v>16962.646350000003</v>
      </c>
      <c r="AC42" s="574">
        <v>17118.372520000001</v>
      </c>
      <c r="AD42" s="552"/>
      <c r="AE42" s="493"/>
    </row>
    <row r="43" spans="1:31" ht="14.4">
      <c r="G43" s="655"/>
      <c r="H43" s="871">
        <v>5</v>
      </c>
      <c r="I43" s="683" t="s">
        <v>920</v>
      </c>
      <c r="J43" s="683"/>
      <c r="K43" s="683"/>
      <c r="L43" s="683"/>
      <c r="M43" s="683"/>
      <c r="N43" s="786">
        <v>12992.749800000001</v>
      </c>
      <c r="O43" s="786">
        <v>13013.177100000001</v>
      </c>
      <c r="P43" s="173" t="s">
        <v>362</v>
      </c>
      <c r="Q43" s="173"/>
      <c r="R43" s="683" t="s">
        <v>802</v>
      </c>
      <c r="S43" s="655"/>
      <c r="T43" s="574">
        <v>17622.471659999999</v>
      </c>
      <c r="U43" s="574">
        <v>17704.150180000004</v>
      </c>
      <c r="V43" s="147"/>
      <c r="W43" s="554"/>
      <c r="X43" s="153"/>
      <c r="Y43" s="879" t="s">
        <v>395</v>
      </c>
      <c r="Z43" s="655"/>
      <c r="AA43" s="655"/>
      <c r="AB43" s="574">
        <v>0</v>
      </c>
      <c r="AC43" s="574">
        <v>0</v>
      </c>
      <c r="AD43" s="552"/>
      <c r="AE43" s="493"/>
    </row>
    <row r="44" spans="1:31" ht="14.4">
      <c r="G44" s="655"/>
      <c r="H44" s="871">
        <v>6</v>
      </c>
      <c r="I44" s="683" t="s">
        <v>805</v>
      </c>
      <c r="J44" s="683"/>
      <c r="K44" s="683"/>
      <c r="L44" s="683"/>
      <c r="M44" s="683"/>
      <c r="N44" s="786">
        <v>12884.162289999998</v>
      </c>
      <c r="O44" s="786">
        <v>13276.994810000002</v>
      </c>
      <c r="P44" s="173" t="s">
        <v>366</v>
      </c>
      <c r="Q44" s="173"/>
      <c r="R44" s="683" t="s">
        <v>808</v>
      </c>
      <c r="S44" s="655"/>
      <c r="T44" s="574">
        <v>11212.859359999999</v>
      </c>
      <c r="U44" s="574">
        <v>10923.50776</v>
      </c>
      <c r="V44" s="147"/>
      <c r="W44" s="554"/>
      <c r="X44" s="153"/>
      <c r="Y44" s="879" t="s">
        <v>396</v>
      </c>
      <c r="Z44" s="655"/>
      <c r="AA44" s="655"/>
      <c r="AB44" s="574">
        <v>1.1999999999999999E-3</v>
      </c>
      <c r="AC44" s="574">
        <v>2.5000000000000001E-4</v>
      </c>
      <c r="AD44" s="552"/>
      <c r="AE44" s="493"/>
    </row>
    <row r="45" spans="1:31" ht="15" thickBot="1">
      <c r="G45" s="655"/>
      <c r="H45" s="871">
        <v>7</v>
      </c>
      <c r="I45" s="683" t="s">
        <v>921</v>
      </c>
      <c r="J45" s="683"/>
      <c r="K45" s="683"/>
      <c r="L45" s="683"/>
      <c r="M45" s="683"/>
      <c r="N45" s="786">
        <v>12045.539580000001</v>
      </c>
      <c r="O45" s="786">
        <v>12348.872329999998</v>
      </c>
      <c r="P45" s="173" t="s">
        <v>357</v>
      </c>
      <c r="Q45" s="173"/>
      <c r="R45" s="683" t="s">
        <v>881</v>
      </c>
      <c r="S45" s="655"/>
      <c r="T45" s="574">
        <v>11200.7907</v>
      </c>
      <c r="U45" s="574">
        <v>10861.242549999999</v>
      </c>
      <c r="V45" s="147"/>
      <c r="W45" s="554"/>
      <c r="X45" s="155"/>
      <c r="Y45" s="655"/>
      <c r="Z45" s="701" t="s">
        <v>251</v>
      </c>
      <c r="AA45" s="655"/>
      <c r="AB45" s="572">
        <v>28472.902829999999</v>
      </c>
      <c r="AC45" s="572">
        <v>29572.341170000003</v>
      </c>
      <c r="AD45" s="552"/>
      <c r="AE45" s="493"/>
    </row>
    <row r="46" spans="1:31" ht="15" thickTop="1">
      <c r="G46" s="655"/>
      <c r="H46" s="871">
        <v>8</v>
      </c>
      <c r="I46" s="683" t="s">
        <v>806</v>
      </c>
      <c r="J46" s="683"/>
      <c r="K46" s="683"/>
      <c r="L46" s="683"/>
      <c r="M46" s="683"/>
      <c r="N46" s="786">
        <v>12038.032889999002</v>
      </c>
      <c r="O46" s="786">
        <v>11972.978729999999</v>
      </c>
      <c r="P46" s="346" t="s">
        <v>357</v>
      </c>
      <c r="Q46" s="173"/>
      <c r="R46" s="683" t="s">
        <v>804</v>
      </c>
      <c r="S46" s="655"/>
      <c r="T46" s="574">
        <v>11101.102849999999</v>
      </c>
      <c r="U46" s="574">
        <v>10975.750469999999</v>
      </c>
      <c r="V46" s="147"/>
      <c r="W46" s="554"/>
      <c r="X46" s="147"/>
      <c r="Y46" s="655"/>
      <c r="Z46" s="655"/>
      <c r="AA46" s="655"/>
      <c r="AB46" s="147"/>
      <c r="AC46" s="147"/>
      <c r="AD46" s="552"/>
      <c r="AE46" s="493"/>
    </row>
    <row r="47" spans="1:31" ht="14.4">
      <c r="G47" s="655"/>
      <c r="H47" s="871">
        <v>9</v>
      </c>
      <c r="I47" s="683" t="s">
        <v>922</v>
      </c>
      <c r="J47" s="683"/>
      <c r="K47" s="683"/>
      <c r="L47" s="683"/>
      <c r="M47" s="683"/>
      <c r="N47" s="786">
        <v>11738.100999999999</v>
      </c>
      <c r="O47" s="786">
        <v>12890.623900000001</v>
      </c>
      <c r="P47" s="346" t="s">
        <v>362</v>
      </c>
      <c r="Q47" s="173"/>
      <c r="R47" s="683" t="s">
        <v>928</v>
      </c>
      <c r="S47" s="655"/>
      <c r="T47" s="574">
        <v>9952.0296300000009</v>
      </c>
      <c r="U47" s="574">
        <v>9893.0610500000003</v>
      </c>
      <c r="V47" s="147"/>
      <c r="W47" s="554"/>
      <c r="X47" s="147"/>
      <c r="Y47" s="655"/>
      <c r="Z47" s="655"/>
      <c r="AA47" s="655"/>
      <c r="AB47" s="147"/>
      <c r="AC47" s="147"/>
      <c r="AD47" s="552"/>
      <c r="AE47" s="493"/>
    </row>
    <row r="48" spans="1:31" ht="14.4">
      <c r="G48" s="655"/>
      <c r="H48" s="871">
        <v>10</v>
      </c>
      <c r="I48" s="683" t="s">
        <v>893</v>
      </c>
      <c r="J48" s="683"/>
      <c r="K48" s="683"/>
      <c r="L48" s="683"/>
      <c r="M48" s="683"/>
      <c r="N48" s="786">
        <v>11653.375099999001</v>
      </c>
      <c r="O48" s="786">
        <v>12017.05948</v>
      </c>
      <c r="P48" s="346" t="s">
        <v>511</v>
      </c>
      <c r="Q48" s="173"/>
      <c r="R48" s="683" t="s">
        <v>801</v>
      </c>
      <c r="S48" s="655"/>
      <c r="T48" s="574">
        <v>9806.0915800000002</v>
      </c>
      <c r="U48" s="574">
        <v>10518.584550000001</v>
      </c>
      <c r="V48" s="147"/>
      <c r="W48" s="554"/>
      <c r="X48" s="147"/>
      <c r="Y48" s="877" t="s">
        <v>809</v>
      </c>
      <c r="Z48" s="870"/>
      <c r="AA48" s="870"/>
      <c r="AB48" s="147"/>
      <c r="AC48" s="147"/>
      <c r="AD48" s="558"/>
      <c r="AE48" s="493"/>
    </row>
    <row r="49" spans="7:31" ht="14.4">
      <c r="G49" s="655"/>
      <c r="H49" s="871">
        <v>11</v>
      </c>
      <c r="I49" s="683" t="s">
        <v>811</v>
      </c>
      <c r="J49" s="683"/>
      <c r="K49" s="683"/>
      <c r="L49" s="683"/>
      <c r="M49" s="683"/>
      <c r="N49" s="786">
        <v>11564.478939999</v>
      </c>
      <c r="O49" s="786">
        <v>11305.757239999999</v>
      </c>
      <c r="P49" s="346" t="s">
        <v>511</v>
      </c>
      <c r="Q49" s="173"/>
      <c r="R49" s="683" t="s">
        <v>807</v>
      </c>
      <c r="S49" s="655"/>
      <c r="T49" s="574">
        <v>8133.4403999999995</v>
      </c>
      <c r="U49" s="574">
        <v>7662</v>
      </c>
      <c r="V49" s="147"/>
      <c r="W49" s="554"/>
      <c r="X49" s="147"/>
      <c r="Y49" s="655"/>
      <c r="Z49" s="655"/>
      <c r="AA49" s="655"/>
      <c r="AB49" s="147"/>
      <c r="AC49" s="147"/>
      <c r="AD49" s="552"/>
      <c r="AE49" s="493"/>
    </row>
    <row r="50" spans="7:31" ht="14.4">
      <c r="G50" s="655"/>
      <c r="H50" s="871">
        <v>12</v>
      </c>
      <c r="I50" s="683" t="s">
        <v>923</v>
      </c>
      <c r="J50" s="683"/>
      <c r="K50" s="683"/>
      <c r="L50" s="683"/>
      <c r="M50" s="683"/>
      <c r="N50" s="786">
        <v>11338.500779999998</v>
      </c>
      <c r="O50" s="786">
        <v>11393.84411</v>
      </c>
      <c r="P50" s="173" t="s">
        <v>357</v>
      </c>
      <c r="Q50" s="173"/>
      <c r="R50" s="683" t="s">
        <v>898</v>
      </c>
      <c r="S50" s="655"/>
      <c r="T50" s="574">
        <v>5698.9340000000002</v>
      </c>
      <c r="U50" s="574">
        <v>5782.5328399999999</v>
      </c>
      <c r="V50" s="147"/>
      <c r="W50" s="554"/>
      <c r="X50" s="155"/>
      <c r="Y50" s="879" t="s">
        <v>351</v>
      </c>
      <c r="Z50" s="655"/>
      <c r="AA50" s="655"/>
      <c r="AB50" s="570">
        <v>0</v>
      </c>
      <c r="AC50" s="570">
        <v>0</v>
      </c>
      <c r="AD50" s="552"/>
      <c r="AE50" s="493"/>
    </row>
    <row r="51" spans="7:31" ht="14.4">
      <c r="G51" s="655"/>
      <c r="H51" s="871">
        <v>13</v>
      </c>
      <c r="I51" s="655" t="s">
        <v>941</v>
      </c>
      <c r="J51" s="655"/>
      <c r="K51" s="655"/>
      <c r="L51" s="655"/>
      <c r="M51" s="655"/>
      <c r="N51" s="786">
        <v>11338.4357</v>
      </c>
      <c r="O51" s="786">
        <v>11609.29761</v>
      </c>
      <c r="P51" s="173" t="s">
        <v>366</v>
      </c>
      <c r="Q51" s="173"/>
      <c r="R51" s="683" t="s">
        <v>894</v>
      </c>
      <c r="S51" s="655"/>
      <c r="T51" s="574">
        <v>4956.8386</v>
      </c>
      <c r="U51" s="574">
        <v>4909.8353399999996</v>
      </c>
      <c r="V51" s="147"/>
      <c r="W51" s="554"/>
      <c r="X51" s="153"/>
      <c r="Y51" s="879" t="s">
        <v>355</v>
      </c>
      <c r="Z51" s="655"/>
      <c r="AA51" s="655"/>
      <c r="AB51" s="574">
        <v>8273.741269999</v>
      </c>
      <c r="AC51" s="574">
        <v>8297.9136099999996</v>
      </c>
      <c r="AD51" s="552"/>
      <c r="AE51" s="493"/>
    </row>
    <row r="52" spans="7:31" ht="14.4">
      <c r="G52" s="655"/>
      <c r="H52" s="871">
        <v>14</v>
      </c>
      <c r="I52" s="683" t="s">
        <v>942</v>
      </c>
      <c r="J52" s="683"/>
      <c r="K52" s="683"/>
      <c r="L52" s="683"/>
      <c r="M52" s="683"/>
      <c r="N52" s="786">
        <v>10912.029999999999</v>
      </c>
      <c r="O52" s="786">
        <v>10788.286430000002</v>
      </c>
      <c r="P52" s="173" t="s">
        <v>357</v>
      </c>
      <c r="Q52" s="173"/>
      <c r="R52" s="683" t="s">
        <v>929</v>
      </c>
      <c r="S52" s="655"/>
      <c r="T52" s="574">
        <v>3015.7969299999995</v>
      </c>
      <c r="U52" s="574">
        <v>3128.0876499999999</v>
      </c>
      <c r="V52" s="147"/>
      <c r="W52" s="554"/>
      <c r="X52" s="153"/>
      <c r="Y52" s="879" t="s">
        <v>366</v>
      </c>
      <c r="Z52" s="655"/>
      <c r="AA52" s="655"/>
      <c r="AB52" s="574">
        <v>64717.081889999994</v>
      </c>
      <c r="AC52" s="574">
        <v>65266.04148</v>
      </c>
      <c r="AD52" s="552"/>
      <c r="AE52" s="493"/>
    </row>
    <row r="53" spans="7:31" ht="14.4">
      <c r="G53" s="655"/>
      <c r="H53" s="871">
        <v>15</v>
      </c>
      <c r="I53" s="683" t="s">
        <v>798</v>
      </c>
      <c r="J53" s="683"/>
      <c r="K53" s="683"/>
      <c r="L53" s="683"/>
      <c r="M53" s="683"/>
      <c r="N53" s="786">
        <v>10707.230979998998</v>
      </c>
      <c r="O53" s="786">
        <v>10888.26634</v>
      </c>
      <c r="P53" s="173" t="s">
        <v>353</v>
      </c>
      <c r="Q53" s="173"/>
      <c r="R53" s="683" t="s">
        <v>946</v>
      </c>
      <c r="S53" s="655"/>
      <c r="T53" s="574">
        <v>2781.8562700000002</v>
      </c>
      <c r="U53" s="574">
        <v>2767</v>
      </c>
      <c r="V53" s="147"/>
      <c r="W53" s="554"/>
      <c r="X53" s="153"/>
      <c r="Y53" s="879" t="s">
        <v>362</v>
      </c>
      <c r="Z53" s="655"/>
      <c r="AA53" s="655"/>
      <c r="AB53" s="574">
        <v>208512.75552999999</v>
      </c>
      <c r="AC53" s="574">
        <v>210909.86398000002</v>
      </c>
      <c r="AD53" s="552"/>
      <c r="AE53" s="493"/>
    </row>
    <row r="54" spans="7:31" ht="14.4">
      <c r="G54" s="655"/>
      <c r="H54" s="871">
        <v>16</v>
      </c>
      <c r="I54" s="655" t="s">
        <v>897</v>
      </c>
      <c r="J54" s="655"/>
      <c r="K54" s="655"/>
      <c r="L54" s="655"/>
      <c r="M54" s="655"/>
      <c r="N54" s="786">
        <v>10658.058969999</v>
      </c>
      <c r="O54" s="786">
        <v>10929.08203</v>
      </c>
      <c r="P54" s="370" t="s">
        <v>366</v>
      </c>
      <c r="Q54" s="173"/>
      <c r="R54" s="683" t="s">
        <v>947</v>
      </c>
      <c r="S54" s="655"/>
      <c r="T54" s="574">
        <v>16030.943069999998</v>
      </c>
      <c r="U54" s="574">
        <v>16489.956759999997</v>
      </c>
      <c r="V54" s="147"/>
      <c r="W54" s="554"/>
      <c r="X54" s="153"/>
      <c r="Y54" s="879" t="s">
        <v>395</v>
      </c>
      <c r="Z54" s="655"/>
      <c r="AA54" s="655"/>
      <c r="AB54" s="574">
        <v>1909.15951</v>
      </c>
      <c r="AC54" s="574">
        <v>2122.1673700000001</v>
      </c>
      <c r="AD54" s="552"/>
      <c r="AE54" s="493"/>
    </row>
    <row r="55" spans="7:31" ht="14.4">
      <c r="G55" s="655"/>
      <c r="H55" s="871">
        <v>17</v>
      </c>
      <c r="I55" s="655" t="s">
        <v>943</v>
      </c>
      <c r="J55" s="655"/>
      <c r="K55" s="655"/>
      <c r="L55" s="655"/>
      <c r="M55" s="655"/>
      <c r="N55" s="786">
        <v>10513.598549999999</v>
      </c>
      <c r="O55" s="786">
        <v>10560.803389999999</v>
      </c>
      <c r="P55" s="173" t="s">
        <v>364</v>
      </c>
      <c r="Q55" s="173"/>
      <c r="R55" s="878" t="s">
        <v>810</v>
      </c>
      <c r="S55" s="655"/>
      <c r="T55" s="574">
        <v>12113.392289999872</v>
      </c>
      <c r="U55" s="574">
        <v>12287.085410000058</v>
      </c>
      <c r="V55" s="147"/>
      <c r="W55" s="554"/>
      <c r="X55" s="153"/>
      <c r="Y55" s="879" t="s">
        <v>396</v>
      </c>
      <c r="Z55" s="655"/>
      <c r="AA55" s="655"/>
      <c r="AB55" s="574">
        <v>0</v>
      </c>
      <c r="AC55" s="574">
        <v>0</v>
      </c>
      <c r="AD55" s="552"/>
      <c r="AE55" s="493"/>
    </row>
    <row r="56" spans="7:31" ht="15" thickBot="1">
      <c r="G56" s="655"/>
      <c r="H56" s="871">
        <v>18</v>
      </c>
      <c r="I56" s="683" t="s">
        <v>924</v>
      </c>
      <c r="J56" s="683"/>
      <c r="K56" s="683"/>
      <c r="L56" s="683"/>
      <c r="M56" s="683"/>
      <c r="N56" s="786">
        <v>10396.27786</v>
      </c>
      <c r="O56" s="786">
        <v>10418.442349999999</v>
      </c>
      <c r="P56" s="173" t="s">
        <v>357</v>
      </c>
      <c r="Q56" s="173"/>
      <c r="R56" s="701"/>
      <c r="S56" s="701" t="s">
        <v>251</v>
      </c>
      <c r="T56" s="572">
        <v>311885.64102999895</v>
      </c>
      <c r="U56" s="572">
        <v>316168.32761000004</v>
      </c>
      <c r="V56" s="147"/>
      <c r="W56" s="554"/>
      <c r="X56" s="155"/>
      <c r="Y56" s="655"/>
      <c r="Z56" s="701" t="s">
        <v>251</v>
      </c>
      <c r="AA56" s="655"/>
      <c r="AB56" s="572">
        <v>283412.73819999903</v>
      </c>
      <c r="AC56" s="572">
        <v>286595.98644000001</v>
      </c>
      <c r="AD56" s="552"/>
      <c r="AE56" s="493"/>
    </row>
    <row r="57" spans="7:31" ht="15" thickTop="1">
      <c r="G57" s="655"/>
      <c r="H57" s="871">
        <v>19</v>
      </c>
      <c r="I57" s="683" t="s">
        <v>840</v>
      </c>
      <c r="J57" s="683"/>
      <c r="K57" s="683"/>
      <c r="L57" s="683"/>
      <c r="M57" s="683"/>
      <c r="N57" s="786">
        <v>10375.422729999</v>
      </c>
      <c r="O57" s="786">
        <v>10536.380610000002</v>
      </c>
      <c r="P57" s="173" t="s">
        <v>357</v>
      </c>
      <c r="Q57" s="173"/>
      <c r="R57" s="147"/>
      <c r="S57" s="147"/>
      <c r="T57" s="555"/>
      <c r="U57" s="555"/>
      <c r="V57" s="147"/>
      <c r="W57" s="554"/>
      <c r="X57" s="147"/>
      <c r="Y57" s="655"/>
      <c r="Z57" s="655"/>
      <c r="AA57" s="655"/>
      <c r="AB57" s="153"/>
      <c r="AC57" s="153"/>
      <c r="AD57" s="552"/>
      <c r="AE57" s="493"/>
    </row>
    <row r="58" spans="7:31" ht="14.4">
      <c r="G58" s="655"/>
      <c r="H58" s="871">
        <v>20</v>
      </c>
      <c r="I58" s="683" t="s">
        <v>925</v>
      </c>
      <c r="J58" s="655"/>
      <c r="K58" s="655"/>
      <c r="L58" s="655"/>
      <c r="M58" s="655"/>
      <c r="N58" s="859">
        <v>10310.688</v>
      </c>
      <c r="O58" s="859">
        <v>9962.009039999999</v>
      </c>
      <c r="P58" s="173" t="s">
        <v>362</v>
      </c>
      <c r="Q58" s="173"/>
      <c r="R58" s="147"/>
      <c r="S58" s="147"/>
      <c r="T58" s="147"/>
      <c r="U58" s="147"/>
      <c r="V58" s="147"/>
      <c r="W58" s="554"/>
      <c r="X58" s="147"/>
      <c r="Y58" s="147"/>
      <c r="Z58" s="147"/>
      <c r="AA58" s="556"/>
      <c r="AB58" s="556"/>
      <c r="AC58" s="556"/>
      <c r="AD58" s="552"/>
      <c r="AE58" s="493"/>
    </row>
    <row r="59" spans="7:31" ht="14.4">
      <c r="G59" s="655"/>
      <c r="H59" s="871">
        <v>21</v>
      </c>
      <c r="I59" s="683" t="s">
        <v>927</v>
      </c>
      <c r="J59" s="683"/>
      <c r="K59" s="683"/>
      <c r="L59" s="683"/>
      <c r="M59" s="683"/>
      <c r="N59" s="786">
        <v>9943.3299599990005</v>
      </c>
      <c r="O59" s="786">
        <v>10023.782710000001</v>
      </c>
      <c r="P59" s="370" t="s">
        <v>362</v>
      </c>
      <c r="Q59" s="173"/>
      <c r="R59" s="147"/>
      <c r="S59" s="147"/>
      <c r="T59" s="147"/>
      <c r="U59" s="147"/>
      <c r="V59" s="147"/>
      <c r="W59" s="554"/>
      <c r="X59" s="147"/>
      <c r="Y59" s="147"/>
      <c r="Z59" s="147"/>
      <c r="AA59" s="556"/>
      <c r="AB59" s="556"/>
      <c r="AC59" s="556"/>
      <c r="AD59" s="552"/>
      <c r="AE59" s="493"/>
    </row>
    <row r="60" spans="7:31" ht="14.4">
      <c r="G60" s="655"/>
      <c r="H60" s="871">
        <v>22</v>
      </c>
      <c r="I60" s="683" t="s">
        <v>926</v>
      </c>
      <c r="J60" s="683"/>
      <c r="K60" s="683"/>
      <c r="L60" s="683"/>
      <c r="M60" s="683"/>
      <c r="N60" s="786">
        <v>9922.2049999999999</v>
      </c>
      <c r="O60" s="786">
        <v>9975.9882799999996</v>
      </c>
      <c r="P60" s="173" t="s">
        <v>364</v>
      </c>
      <c r="Q60" s="173"/>
      <c r="R60" s="553"/>
      <c r="S60" s="147"/>
      <c r="T60" s="153"/>
      <c r="U60" s="153"/>
      <c r="V60" s="147"/>
      <c r="W60" s="554"/>
      <c r="X60" s="147"/>
      <c r="Y60" s="147"/>
      <c r="Z60" s="147"/>
      <c r="AA60" s="147"/>
      <c r="AB60" s="147"/>
      <c r="AC60" s="147"/>
      <c r="AD60" s="552"/>
      <c r="AE60" s="493"/>
    </row>
    <row r="61" spans="7:31" ht="14.4">
      <c r="G61" s="655"/>
      <c r="H61" s="871">
        <v>23</v>
      </c>
      <c r="I61" s="683" t="s">
        <v>944</v>
      </c>
      <c r="J61" s="683"/>
      <c r="K61" s="683"/>
      <c r="L61" s="683"/>
      <c r="M61" s="683"/>
      <c r="N61" s="786">
        <v>9916.6900999999998</v>
      </c>
      <c r="O61" s="786">
        <v>10391.70578</v>
      </c>
      <c r="P61" s="173" t="s">
        <v>357</v>
      </c>
      <c r="Q61" s="173"/>
      <c r="R61" s="147"/>
      <c r="S61" s="147"/>
      <c r="T61" s="147"/>
      <c r="U61" s="147"/>
      <c r="V61" s="147"/>
      <c r="W61" s="554"/>
      <c r="X61" s="147"/>
      <c r="Y61" s="147"/>
      <c r="Z61" s="147"/>
      <c r="AA61" s="147"/>
      <c r="AB61" s="147"/>
      <c r="AC61" s="147"/>
      <c r="AD61" s="552"/>
      <c r="AE61" s="493"/>
    </row>
    <row r="62" spans="7:31" ht="14.4">
      <c r="G62" s="655"/>
      <c r="H62" s="871">
        <v>24</v>
      </c>
      <c r="I62" s="683" t="s">
        <v>945</v>
      </c>
      <c r="J62" s="683"/>
      <c r="K62" s="683"/>
      <c r="L62" s="683"/>
      <c r="M62" s="683"/>
      <c r="N62" s="786">
        <v>9885.9459999999981</v>
      </c>
      <c r="O62" s="786">
        <v>10046.586290000001</v>
      </c>
      <c r="P62" s="173" t="s">
        <v>435</v>
      </c>
      <c r="Q62" s="173"/>
      <c r="R62" s="147"/>
      <c r="S62" s="147"/>
      <c r="T62" s="147"/>
      <c r="U62" s="147"/>
      <c r="V62" s="147"/>
      <c r="W62" s="554"/>
      <c r="X62" s="147"/>
      <c r="Y62" s="147"/>
      <c r="Z62" s="147"/>
      <c r="AA62" s="201"/>
      <c r="AB62" s="202"/>
      <c r="AC62" s="202"/>
      <c r="AD62" s="552"/>
      <c r="AE62" s="493"/>
    </row>
    <row r="63" spans="7:31" ht="14.4">
      <c r="G63" s="655"/>
      <c r="H63" s="871">
        <v>25</v>
      </c>
      <c r="I63" s="683" t="s">
        <v>839</v>
      </c>
      <c r="J63" s="683"/>
      <c r="K63" s="683"/>
      <c r="L63" s="683"/>
      <c r="M63" s="683"/>
      <c r="N63" s="786">
        <v>9847.9207999999981</v>
      </c>
      <c r="O63" s="786">
        <v>10328.379250000002</v>
      </c>
      <c r="P63" s="173" t="s">
        <v>353</v>
      </c>
      <c r="Q63" s="173"/>
      <c r="R63" s="553"/>
      <c r="S63" s="147"/>
      <c r="T63" s="153"/>
      <c r="U63" s="153"/>
      <c r="V63" s="147"/>
      <c r="W63" s="554"/>
      <c r="X63" s="147"/>
      <c r="Y63" s="147"/>
      <c r="Z63" s="147"/>
      <c r="AA63" s="147"/>
      <c r="AB63" s="147"/>
      <c r="AC63" s="147"/>
      <c r="AD63" s="552"/>
      <c r="AE63" s="493"/>
    </row>
    <row r="64" spans="7:31" ht="15" thickBot="1">
      <c r="G64" s="655"/>
      <c r="H64" s="871"/>
      <c r="I64" s="683"/>
      <c r="J64" s="683"/>
      <c r="K64" s="683"/>
      <c r="L64" s="683"/>
      <c r="M64" s="683" t="s">
        <v>251</v>
      </c>
      <c r="N64" s="852">
        <v>287901.92500999197</v>
      </c>
      <c r="O64" s="852">
        <v>292860.76393000002</v>
      </c>
      <c r="P64" s="173"/>
      <c r="Q64" s="173"/>
      <c r="R64" s="147"/>
      <c r="S64" s="147"/>
      <c r="T64" s="147"/>
      <c r="U64" s="147"/>
      <c r="V64" s="147"/>
      <c r="W64" s="147"/>
      <c r="X64" s="147"/>
      <c r="Y64" s="147"/>
      <c r="Z64" s="147"/>
      <c r="AA64" s="147"/>
      <c r="AB64" s="153"/>
      <c r="AC64" s="153"/>
      <c r="AD64" s="552"/>
      <c r="AE64" s="493"/>
    </row>
    <row r="65" spans="7:31" ht="15" thickTop="1">
      <c r="G65" s="655"/>
      <c r="H65" s="716"/>
      <c r="I65" s="655"/>
      <c r="J65" s="655"/>
      <c r="K65" s="655"/>
      <c r="L65" s="655"/>
      <c r="M65" s="655"/>
      <c r="N65" s="147"/>
      <c r="O65" s="147"/>
      <c r="P65" s="173"/>
      <c r="Q65" s="173"/>
      <c r="R65" s="147"/>
      <c r="S65" s="147"/>
      <c r="T65" s="147"/>
      <c r="U65" s="147"/>
      <c r="V65" s="147"/>
      <c r="W65" s="147"/>
      <c r="X65" s="147"/>
      <c r="Y65" s="147"/>
      <c r="Z65" s="147"/>
      <c r="AA65" s="556"/>
      <c r="AB65" s="556"/>
      <c r="AC65" s="556"/>
      <c r="AD65" s="552"/>
      <c r="AE65" s="493"/>
    </row>
    <row r="66" spans="7:31" ht="14.4">
      <c r="G66" s="655"/>
      <c r="H66" s="655"/>
      <c r="I66" s="655"/>
      <c r="J66" s="655"/>
      <c r="K66" s="655"/>
      <c r="L66" s="655"/>
      <c r="M66" s="655" t="s">
        <v>812</v>
      </c>
      <c r="N66" s="801">
        <v>6.9567468670917121E-2</v>
      </c>
      <c r="O66" s="801">
        <v>6.8445613125058563E-2</v>
      </c>
      <c r="P66" s="147"/>
      <c r="Q66" s="147"/>
      <c r="R66" s="147"/>
      <c r="S66" s="147"/>
      <c r="T66" s="147"/>
      <c r="U66" s="147"/>
      <c r="V66" s="147"/>
      <c r="W66" s="147"/>
      <c r="X66" s="147"/>
      <c r="Y66" s="147"/>
      <c r="Z66" s="147"/>
      <c r="AA66" s="147"/>
      <c r="AB66" s="153"/>
      <c r="AC66" s="153"/>
      <c r="AD66" s="437"/>
      <c r="AE66" s="493"/>
    </row>
    <row r="67" spans="7:31" ht="14.4">
      <c r="G67" s="822"/>
      <c r="H67" s="822"/>
      <c r="I67" s="822"/>
      <c r="J67" s="822"/>
      <c r="K67" s="822"/>
      <c r="L67" s="822"/>
      <c r="M67" s="822"/>
      <c r="N67" s="437"/>
      <c r="O67" s="437"/>
      <c r="P67" s="437"/>
      <c r="Q67" s="437"/>
      <c r="R67" s="437"/>
      <c r="S67" s="437"/>
      <c r="T67" s="437"/>
      <c r="U67" s="437"/>
      <c r="V67" s="437"/>
      <c r="W67" s="437"/>
      <c r="X67" s="437"/>
      <c r="Y67" s="437"/>
      <c r="Z67" s="437"/>
      <c r="AA67" s="437"/>
      <c r="AB67" s="437"/>
      <c r="AC67" s="437"/>
      <c r="AD67" s="437"/>
      <c r="AE67" s="493"/>
    </row>
    <row r="68" spans="7:31" ht="14.4">
      <c r="G68" s="872"/>
      <c r="H68" s="872"/>
      <c r="I68" s="872"/>
      <c r="J68" s="872"/>
      <c r="K68" s="872"/>
      <c r="L68" s="872"/>
      <c r="M68" s="872"/>
      <c r="N68" s="557"/>
      <c r="O68" s="557"/>
      <c r="P68" s="557"/>
      <c r="Q68" s="557"/>
      <c r="R68" s="557"/>
      <c r="S68" s="557"/>
      <c r="T68" s="557"/>
      <c r="U68" s="557"/>
      <c r="V68" s="557"/>
      <c r="W68" s="557"/>
      <c r="X68" s="557"/>
      <c r="Y68" s="557"/>
      <c r="Z68" s="557"/>
      <c r="AA68" s="557"/>
      <c r="AB68" s="557"/>
      <c r="AC68" s="557"/>
      <c r="AD68" s="557"/>
      <c r="AE68" s="493"/>
    </row>
    <row r="69" spans="7:31" ht="14.4">
      <c r="AE69"/>
    </row>
    <row r="70" spans="7:31">
      <c r="G70" s="654" t="s">
        <v>42</v>
      </c>
      <c r="H70" s="1179" t="s">
        <v>771</v>
      </c>
      <c r="I70" s="1179"/>
      <c r="J70" s="1179"/>
      <c r="K70" s="1179"/>
      <c r="L70" s="1179"/>
      <c r="M70" s="1179"/>
      <c r="N70" s="1179"/>
      <c r="O70" s="1179"/>
      <c r="P70" s="1179"/>
      <c r="Q70" s="1179"/>
      <c r="R70" s="1179"/>
      <c r="S70" s="1179"/>
      <c r="T70" s="1179"/>
      <c r="U70" s="1179"/>
      <c r="V70" s="1179"/>
      <c r="W70" s="1179"/>
      <c r="X70" s="1179"/>
      <c r="Y70" s="1179"/>
      <c r="Z70" s="1179"/>
      <c r="AA70" s="1179"/>
      <c r="AB70" s="1179"/>
      <c r="AC70" s="1179"/>
      <c r="AD70" s="1179"/>
    </row>
    <row r="71" spans="7:31">
      <c r="G71" s="654" t="s">
        <v>44</v>
      </c>
      <c r="H71" s="1179" t="s">
        <v>772</v>
      </c>
      <c r="I71" s="1179"/>
      <c r="J71" s="1179"/>
      <c r="K71" s="1179"/>
      <c r="L71" s="1179"/>
      <c r="M71" s="1179"/>
      <c r="N71" s="1179"/>
      <c r="O71" s="1179"/>
      <c r="P71" s="1179"/>
      <c r="Q71" s="1179"/>
      <c r="R71" s="1179"/>
      <c r="S71" s="1179"/>
      <c r="T71" s="1179"/>
      <c r="U71" s="1179"/>
      <c r="V71" s="1179"/>
      <c r="W71" s="1179"/>
      <c r="X71" s="1179"/>
      <c r="Y71" s="1179"/>
      <c r="Z71" s="1179"/>
      <c r="AA71" s="1179"/>
      <c r="AB71" s="1179"/>
      <c r="AC71" s="1179"/>
      <c r="AD71" s="1179"/>
    </row>
    <row r="72" spans="7:31">
      <c r="K72" s="654" t="s">
        <v>339</v>
      </c>
    </row>
  </sheetData>
  <sheetProtection formatCells="0"/>
  <mergeCells count="11">
    <mergeCell ref="H1:Y1"/>
    <mergeCell ref="Z1:AD1"/>
    <mergeCell ref="H70:AD70"/>
    <mergeCell ref="H71:AD71"/>
    <mergeCell ref="X3:Y3"/>
    <mergeCell ref="G4:M4"/>
    <mergeCell ref="G5:M5"/>
    <mergeCell ref="G22:M22"/>
    <mergeCell ref="N35:P35"/>
    <mergeCell ref="T35:U35"/>
    <mergeCell ref="AB35:AC35"/>
  </mergeCells>
  <pageMargins left="0.15" right="0.15" top="0.15" bottom="0.15" header="0" footer="0.15"/>
  <pageSetup scale="52" orientation="landscape" cellComments="asDisplayed" r:id="rId1"/>
  <headerFooter differentFirst="1" alignWithMargins="0">
    <oddFooter>Page &amp;P of &amp;N</oddFooter>
  </headerFooter>
  <customProperties>
    <customPr name="isReportSheetChang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AEDC-4749-4D77-AF07-A5A4F221A8BC}">
  <sheetPr>
    <pageSetUpPr fitToPage="1"/>
  </sheetPr>
  <dimension ref="A1:AB42"/>
  <sheetViews>
    <sheetView zoomScale="90" zoomScaleNormal="90" workbookViewId="0"/>
  </sheetViews>
  <sheetFormatPr defaultColWidth="9.109375" defaultRowHeight="13.8"/>
  <cols>
    <col min="1" max="6" width="9.109375" style="145"/>
    <col min="7" max="12" width="4.109375" style="654" customWidth="1"/>
    <col min="13" max="13" width="32.88671875" style="654" customWidth="1"/>
    <col min="14" max="23" width="11.6640625" style="146" customWidth="1"/>
    <col min="24" max="26" width="11.6640625" style="294" customWidth="1"/>
    <col min="27" max="27" width="4.109375" style="146" customWidth="1"/>
    <col min="28" max="16384" width="9.109375" style="146"/>
  </cols>
  <sheetData>
    <row r="1" spans="1:28" s="667" customFormat="1" ht="39.9" customHeight="1" thickBot="1">
      <c r="A1" s="666" t="str">
        <f>+Manual!A1</f>
        <v>Q2
2025</v>
      </c>
      <c r="B1" s="666" t="str">
        <f>+Manual!D1</f>
        <v>Q2
2026</v>
      </c>
      <c r="C1" s="666"/>
      <c r="D1" s="666"/>
      <c r="E1" s="666"/>
      <c r="F1" s="666"/>
      <c r="G1" s="653"/>
      <c r="H1" s="1143" t="s">
        <v>679</v>
      </c>
      <c r="I1" s="1143"/>
      <c r="J1" s="1143"/>
      <c r="K1" s="1143"/>
      <c r="L1" s="1143"/>
      <c r="M1" s="1143"/>
      <c r="N1" s="1143"/>
      <c r="O1" s="1143"/>
      <c r="P1" s="1143"/>
      <c r="Q1" s="1143"/>
      <c r="R1" s="1143"/>
      <c r="S1" s="1143"/>
      <c r="T1" s="1143"/>
      <c r="U1" s="1143"/>
      <c r="V1" s="1143"/>
      <c r="W1" s="1143"/>
      <c r="X1" s="1131" t="s">
        <v>752</v>
      </c>
      <c r="Y1" s="1131"/>
      <c r="Z1" s="1131"/>
      <c r="AA1" s="661"/>
    </row>
    <row r="2" spans="1:28" s="654" customFormat="1" ht="14.4">
      <c r="A2" s="656"/>
      <c r="B2" s="656"/>
      <c r="C2" s="656"/>
      <c r="D2" s="656"/>
      <c r="E2" s="656"/>
      <c r="F2" s="656"/>
      <c r="X2" s="683"/>
      <c r="Y2" s="683"/>
      <c r="Z2" s="683"/>
      <c r="AA2" s="661"/>
    </row>
    <row r="3" spans="1:28" s="654" customFormat="1" ht="28.2">
      <c r="A3" s="656"/>
      <c r="B3" s="656"/>
      <c r="C3" s="656"/>
      <c r="D3" s="656"/>
      <c r="E3" s="656"/>
      <c r="F3" s="656"/>
      <c r="G3" s="1180" t="s">
        <v>515</v>
      </c>
      <c r="H3" s="1180"/>
      <c r="I3" s="1180"/>
      <c r="J3" s="1180"/>
      <c r="K3" s="1180"/>
      <c r="L3" s="1180"/>
      <c r="M3" s="1180"/>
      <c r="N3" s="888">
        <f t="shared" ref="N3:P3" si="0">+O3-1</f>
        <v>2021</v>
      </c>
      <c r="O3" s="888">
        <f t="shared" si="0"/>
        <v>2022</v>
      </c>
      <c r="P3" s="888">
        <f t="shared" si="0"/>
        <v>2023</v>
      </c>
      <c r="Q3" s="888">
        <f>+R3-1</f>
        <v>2024</v>
      </c>
      <c r="R3" s="888">
        <f>+RIGHT(Z3,4)-IF(LEFT(A1,2)="Q4",0,1)</f>
        <v>2025</v>
      </c>
      <c r="S3" s="663" t="str">
        <f>+IS!N4</f>
        <v>Q1
2025</v>
      </c>
      <c r="T3" s="662" t="str">
        <f>+IS!O4</f>
        <v>Q2
2025</v>
      </c>
      <c r="U3" s="662" t="str">
        <f>+IS!P4</f>
        <v>Q3
2025</v>
      </c>
      <c r="V3" s="662" t="str">
        <f>+IS!Q4</f>
        <v>Q4
2025</v>
      </c>
      <c r="W3" s="663" t="str">
        <f>+IS!R4</f>
        <v>Q1
2026</v>
      </c>
      <c r="X3" s="662" t="str">
        <f>+IS!S4</f>
        <v>Q2
2026</v>
      </c>
      <c r="Y3" s="662" t="str">
        <f>+IS!T4</f>
        <v>Q3
2026</v>
      </c>
      <c r="Z3" s="662" t="str">
        <f>+IS!U4</f>
        <v>Q4
2026</v>
      </c>
      <c r="AA3" s="661"/>
    </row>
    <row r="4" spans="1:28" ht="15" customHeight="1">
      <c r="G4" s="655"/>
      <c r="H4" s="655"/>
      <c r="I4" s="655"/>
      <c r="J4" s="655"/>
      <c r="K4" s="655"/>
      <c r="L4" s="655"/>
      <c r="M4" s="655"/>
      <c r="N4" s="148"/>
      <c r="O4" s="148"/>
      <c r="P4" s="148"/>
      <c r="Q4" s="148"/>
      <c r="R4" s="148"/>
      <c r="S4" s="149"/>
      <c r="T4" s="150"/>
      <c r="U4" s="150"/>
      <c r="V4" s="150"/>
      <c r="W4" s="149"/>
      <c r="X4" s="150"/>
      <c r="Y4" s="150"/>
      <c r="Z4" s="150"/>
      <c r="AA4"/>
    </row>
    <row r="5" spans="1:28" ht="14.4">
      <c r="G5" s="655"/>
      <c r="H5" s="655"/>
      <c r="I5" s="655"/>
      <c r="J5" s="655"/>
      <c r="K5" s="655"/>
      <c r="L5" s="655"/>
      <c r="M5" s="655"/>
      <c r="N5" s="151"/>
      <c r="O5" s="151"/>
      <c r="P5" s="151"/>
      <c r="Q5" s="151"/>
      <c r="R5" s="151"/>
      <c r="S5" s="152"/>
      <c r="T5" s="151"/>
      <c r="U5" s="151"/>
      <c r="V5" s="151"/>
      <c r="W5" s="152"/>
      <c r="X5" s="151"/>
      <c r="Y5" s="151"/>
      <c r="Z5" s="151"/>
      <c r="AA5"/>
    </row>
    <row r="6" spans="1:28" s="636" customFormat="1" ht="14.4">
      <c r="A6" s="626"/>
      <c r="B6" s="626"/>
      <c r="C6" s="626"/>
      <c r="D6" s="626"/>
      <c r="E6" s="626"/>
      <c r="F6" s="626"/>
      <c r="G6" s="1185" t="s">
        <v>502</v>
      </c>
      <c r="H6" s="1185"/>
      <c r="I6" s="1185"/>
      <c r="J6" s="1185"/>
      <c r="K6" s="1185"/>
      <c r="L6" s="1185"/>
      <c r="M6" s="1185"/>
      <c r="N6" s="574">
        <f>+SUMIF(Manual!$2:$2,_xlfn.CONCAT("*",N$3),Manual!$78:$78)</f>
        <v>349374</v>
      </c>
      <c r="O6" s="574">
        <f>+SUMIF(Manual!$2:$2,_xlfn.CONCAT("*",O$3),Manual!$78:$78)</f>
        <v>359735</v>
      </c>
      <c r="P6" s="574">
        <f>+SUMIF(Manual!$2:$2,_xlfn.CONCAT("*",P$3),Manual!$78:$78)</f>
        <v>361925</v>
      </c>
      <c r="Q6" s="574">
        <f>+SUMIF(Manual!$2:$2,_xlfn.CONCAT("*",Q$3),Manual!$78:$78)</f>
        <v>445425</v>
      </c>
      <c r="R6" s="574">
        <f>+SUMIF(Manual!$2:$2,_xlfn.CONCAT("*",R$3),Manual!$78:$78)</f>
        <v>358316</v>
      </c>
      <c r="S6" s="575">
        <f>+SUMIF(Manual!$2:$2,S$3,Manual!$78:$78)</f>
        <v>100867</v>
      </c>
      <c r="T6" s="574">
        <f>+SUMIF(Manual!$2:$2,T$3,Manual!$78:$78)</f>
        <v>80924</v>
      </c>
      <c r="U6" s="574">
        <f>+SUMIF(Manual!$2:$2,U$3,Manual!$78:$78)</f>
        <v>101156</v>
      </c>
      <c r="V6" s="574">
        <f>+SUMIF(Manual!$2:$2,V$3,Manual!$78:$78)</f>
        <v>75369</v>
      </c>
      <c r="W6" s="575">
        <f>+SUMIF(Manual!$2:$2,W$3,Manual!$78:$78)</f>
        <v>84217</v>
      </c>
      <c r="X6" s="574">
        <f>+SUMIF(Manual!$2:$2,X$3,Manual!$78:$78)</f>
        <v>82346</v>
      </c>
      <c r="Y6" s="574"/>
      <c r="Z6" s="574"/>
      <c r="AA6" s="635"/>
      <c r="AB6" s="1025"/>
    </row>
    <row r="7" spans="1:28" s="636" customFormat="1" ht="15" customHeight="1">
      <c r="A7" s="626"/>
      <c r="B7" s="626"/>
      <c r="C7" s="626"/>
      <c r="D7" s="626"/>
      <c r="E7" s="626"/>
      <c r="F7" s="626"/>
      <c r="G7" s="655"/>
      <c r="H7" s="655"/>
      <c r="I7" s="655"/>
      <c r="J7" s="655"/>
      <c r="K7" s="655"/>
      <c r="L7" s="655"/>
      <c r="M7" s="655"/>
      <c r="N7" s="574"/>
      <c r="O7" s="574"/>
      <c r="P7" s="574"/>
      <c r="Q7" s="574"/>
      <c r="R7" s="574"/>
      <c r="S7" s="575"/>
      <c r="T7" s="880"/>
      <c r="U7" s="880"/>
      <c r="V7" s="880"/>
      <c r="W7" s="881"/>
      <c r="X7" s="880"/>
      <c r="Y7" s="880"/>
      <c r="Z7" s="880"/>
      <c r="AA7" s="635"/>
    </row>
    <row r="8" spans="1:28" s="636" customFormat="1" ht="14.4">
      <c r="A8" s="626"/>
      <c r="B8" s="626"/>
      <c r="C8" s="626"/>
      <c r="D8" s="626"/>
      <c r="E8" s="626"/>
      <c r="F8" s="626"/>
      <c r="G8" s="655"/>
      <c r="H8" s="655"/>
      <c r="I8" s="655"/>
      <c r="J8" s="655"/>
      <c r="K8" s="655"/>
      <c r="L8" s="655"/>
      <c r="M8" s="655"/>
      <c r="N8" s="574"/>
      <c r="O8" s="574"/>
      <c r="P8" s="574"/>
      <c r="Q8" s="574"/>
      <c r="R8" s="574"/>
      <c r="S8" s="575"/>
      <c r="T8" s="574"/>
      <c r="U8" s="574"/>
      <c r="V8" s="574"/>
      <c r="W8" s="575"/>
      <c r="X8" s="574"/>
      <c r="Y8" s="574"/>
      <c r="Z8" s="574"/>
      <c r="AA8" s="635"/>
    </row>
    <row r="9" spans="1:28" s="636" customFormat="1" ht="14.4">
      <c r="A9" s="626"/>
      <c r="B9" s="626"/>
      <c r="C9" s="626"/>
      <c r="D9" s="626"/>
      <c r="E9" s="626"/>
      <c r="F9" s="626"/>
      <c r="G9" s="1185" t="s">
        <v>227</v>
      </c>
      <c r="H9" s="1185"/>
      <c r="I9" s="1185"/>
      <c r="J9" s="1185"/>
      <c r="K9" s="1185"/>
      <c r="L9" s="1185"/>
      <c r="M9" s="1185"/>
      <c r="N9" s="574">
        <f>+SUMIF(Manual!$2:$2,_xlfn.CONCAT("Q1",CHAR(10),N$3),Manual!$26:$26)</f>
        <v>134907</v>
      </c>
      <c r="O9" s="574">
        <f>+SUMIF(Manual!$2:$2,_xlfn.CONCAT("Q1",CHAR(10),O$3),Manual!$26:$26)</f>
        <v>129515</v>
      </c>
      <c r="P9" s="574">
        <f>+SUMIF(Manual!$2:$2,_xlfn.CONCAT("Q1",CHAR(10),P$3),Manual!$26:$26)</f>
        <v>135208</v>
      </c>
      <c r="Q9" s="574">
        <f>+SUMIF(Manual!$2:$2,_xlfn.CONCAT("Q1",CHAR(10),Q$3),Manual!$26:$26)</f>
        <v>141572</v>
      </c>
      <c r="R9" s="574">
        <f>+SUMIF(Manual!$2:$2,_xlfn.CONCAT("Q1",CHAR(10),R$3),Manual!$26:$26)</f>
        <v>151611</v>
      </c>
      <c r="S9" s="575">
        <f>+SUMIF(Manual!$2:$2,S$3,Manual!$26:$26)</f>
        <v>151611</v>
      </c>
      <c r="T9" s="574">
        <f>+SUMIF(Manual!$2:$2,T$3,Manual!$26:$26)</f>
        <v>152167</v>
      </c>
      <c r="U9" s="574">
        <f>+SUMIF(Manual!$2:$2,U$3,Manual!$26:$26)</f>
        <v>152592</v>
      </c>
      <c r="V9" s="574">
        <f>+SUMIF(Manual!$2:$2,V$3,Manual!$26:$26)</f>
        <v>152200</v>
      </c>
      <c r="W9" s="575">
        <f>+SUMIF(Manual!$2:$2,W$3,Manual!$26:$26)</f>
        <v>151524</v>
      </c>
      <c r="X9" s="574">
        <f>+SUMIF(Manual!$2:$2,X$3,Manual!$26:$26)</f>
        <v>149732</v>
      </c>
      <c r="Y9" s="574"/>
      <c r="Z9" s="574"/>
      <c r="AA9" s="635"/>
    </row>
    <row r="10" spans="1:28" s="636" customFormat="1" ht="15" customHeight="1">
      <c r="A10" s="626"/>
      <c r="B10" s="626"/>
      <c r="C10" s="626"/>
      <c r="D10" s="626"/>
      <c r="E10" s="626"/>
      <c r="F10" s="626"/>
      <c r="G10" s="655"/>
      <c r="H10" s="1185" t="s">
        <v>228</v>
      </c>
      <c r="I10" s="1185"/>
      <c r="J10" s="1185"/>
      <c r="K10" s="1185"/>
      <c r="L10" s="1185"/>
      <c r="M10" s="1185"/>
      <c r="N10" s="574">
        <f>+SUMIF(Manual!$2:$2,_xlfn.CONCAT("*",N$3),Manual!$27:$27)</f>
        <v>39622</v>
      </c>
      <c r="O10" s="574">
        <f>+SUMIF(Manual!$2:$2,_xlfn.CONCAT("*",O$3),Manual!$27:$27)</f>
        <v>45147</v>
      </c>
      <c r="P10" s="574">
        <f>+SUMIF(Manual!$2:$2,_xlfn.CONCAT("*",P$3),Manual!$27:$27)</f>
        <v>49096</v>
      </c>
      <c r="Q10" s="574">
        <f>+SUMIF(Manual!$2:$2,_xlfn.CONCAT("*",Q$3),Manual!$27:$27)</f>
        <v>56320</v>
      </c>
      <c r="R10" s="574">
        <f>+SUMIF(Manual!$2:$2,_xlfn.CONCAT("*",R$3),Manual!$27:$27)</f>
        <v>48722</v>
      </c>
      <c r="S10" s="575">
        <f>+SUMIF(Manual!$2:$2,S$3,Manual!$27:$27)</f>
        <v>12339</v>
      </c>
      <c r="T10" s="574">
        <f>+SUMIF(Manual!$2:$2,T$3,Manual!$27:$27)</f>
        <v>12903</v>
      </c>
      <c r="U10" s="574">
        <f>+SUMIF(Manual!$2:$2,U$3,Manual!$27:$27)</f>
        <v>12482</v>
      </c>
      <c r="V10" s="574">
        <f>+SUMIF(Manual!$2:$2,V$3,Manual!$27:$27)</f>
        <v>10998</v>
      </c>
      <c r="W10" s="575">
        <f>+SUMIF(Manual!$2:$2,W$3,Manual!$27:$27)</f>
        <v>10569</v>
      </c>
      <c r="X10" s="574">
        <f>+SUMIF(Manual!$2:$2,X$3,Manual!$27:$27)</f>
        <v>11020</v>
      </c>
      <c r="Y10" s="574"/>
      <c r="Z10" s="574"/>
      <c r="AA10" s="635"/>
      <c r="AB10" s="1025"/>
    </row>
    <row r="11" spans="1:28" s="636" customFormat="1" ht="15" customHeight="1">
      <c r="A11" s="626"/>
      <c r="B11" s="626"/>
      <c r="C11" s="626"/>
      <c r="D11" s="626"/>
      <c r="E11" s="626"/>
      <c r="F11" s="626"/>
      <c r="G11" s="655"/>
      <c r="H11" s="1185" t="s">
        <v>229</v>
      </c>
      <c r="I11" s="1185"/>
      <c r="J11" s="1185"/>
      <c r="K11" s="1185"/>
      <c r="L11" s="1185"/>
      <c r="M11" s="1185"/>
      <c r="N11" s="574">
        <f>+SUMIF(Manual!$2:$2,_xlfn.CONCAT("*",N$3),Manual!$28:$28)</f>
        <v>-45014</v>
      </c>
      <c r="O11" s="574">
        <f>+SUMIF(Manual!$2:$2,_xlfn.CONCAT("*",O$3),Manual!$28:$28)</f>
        <v>-39454</v>
      </c>
      <c r="P11" s="574">
        <f>+SUMIF(Manual!$2:$2,_xlfn.CONCAT("*",P$3),Manual!$28:$28)</f>
        <v>-42732</v>
      </c>
      <c r="Q11" s="574">
        <f>+SUMIF(Manual!$2:$2,_xlfn.CONCAT("*",Q$3),Manual!$28:$28)</f>
        <v>-46281</v>
      </c>
      <c r="R11" s="574">
        <f>+SUMIF(Manual!$2:$2,_xlfn.CONCAT("*",R$3),Manual!$28:$28)</f>
        <v>-48809</v>
      </c>
      <c r="S11" s="575">
        <f>+SUMIF(Manual!$2:$2,S$3,Manual!$28:$28)</f>
        <v>-11783</v>
      </c>
      <c r="T11" s="574">
        <f>+SUMIF(Manual!$2:$2,T$3,Manual!$28:$28)</f>
        <v>-12478</v>
      </c>
      <c r="U11" s="574">
        <f>+SUMIF(Manual!$2:$2,U$3,Manual!$28:$28)</f>
        <v>-12874</v>
      </c>
      <c r="V11" s="574">
        <f>+SUMIF(Manual!$2:$2,V$3,Manual!$28:$28)</f>
        <v>-11674</v>
      </c>
      <c r="W11" s="575">
        <f>+SUMIF(Manual!$2:$2,W$3,Manual!$28:$28)</f>
        <v>-12361</v>
      </c>
      <c r="X11" s="574">
        <f>+SUMIF(Manual!$2:$2,X$3,Manual!$28:$28)</f>
        <v>-12140</v>
      </c>
      <c r="Y11" s="574"/>
      <c r="Z11" s="574"/>
      <c r="AA11" s="635"/>
    </row>
    <row r="12" spans="1:28" s="636" customFormat="1" ht="15.75" customHeight="1" thickBot="1">
      <c r="A12" s="626"/>
      <c r="B12" s="626"/>
      <c r="C12" s="626"/>
      <c r="D12" s="626"/>
      <c r="E12" s="626"/>
      <c r="F12" s="626"/>
      <c r="G12" s="1185" t="s">
        <v>230</v>
      </c>
      <c r="H12" s="1185"/>
      <c r="I12" s="1185"/>
      <c r="J12" s="1185"/>
      <c r="K12" s="1185"/>
      <c r="L12" s="1185"/>
      <c r="M12" s="1185"/>
      <c r="N12" s="882">
        <f t="shared" ref="N12:W12" si="1">+SUM(N9:N11)</f>
        <v>129515</v>
      </c>
      <c r="O12" s="882">
        <f t="shared" si="1"/>
        <v>135208</v>
      </c>
      <c r="P12" s="882">
        <f t="shared" si="1"/>
        <v>141572</v>
      </c>
      <c r="Q12" s="882">
        <f t="shared" si="1"/>
        <v>151611</v>
      </c>
      <c r="R12" s="882">
        <f t="shared" si="1"/>
        <v>151524</v>
      </c>
      <c r="S12" s="883">
        <f t="shared" si="1"/>
        <v>152167</v>
      </c>
      <c r="T12" s="882">
        <f t="shared" si="1"/>
        <v>152592</v>
      </c>
      <c r="U12" s="882">
        <f t="shared" si="1"/>
        <v>152200</v>
      </c>
      <c r="V12" s="882">
        <f t="shared" si="1"/>
        <v>151524</v>
      </c>
      <c r="W12" s="883">
        <f t="shared" si="1"/>
        <v>149732</v>
      </c>
      <c r="X12" s="882">
        <f t="shared" ref="X12" si="2">+SUM(X9:X11)</f>
        <v>148612</v>
      </c>
      <c r="Y12" s="882"/>
      <c r="Z12" s="882"/>
      <c r="AA12" s="635"/>
      <c r="AB12" s="1025"/>
    </row>
    <row r="13" spans="1:28" s="636" customFormat="1" ht="15.75" customHeight="1" thickTop="1">
      <c r="A13" s="626"/>
      <c r="B13" s="626"/>
      <c r="C13" s="626"/>
      <c r="D13" s="626"/>
      <c r="E13" s="626"/>
      <c r="F13" s="626"/>
      <c r="G13" s="655"/>
      <c r="H13" s="655"/>
      <c r="I13" s="655"/>
      <c r="J13" s="655"/>
      <c r="K13" s="655"/>
      <c r="L13" s="655"/>
      <c r="M13" s="655"/>
      <c r="N13" s="574"/>
      <c r="O13" s="574"/>
      <c r="P13" s="574"/>
      <c r="Q13" s="574"/>
      <c r="R13" s="574"/>
      <c r="S13" s="575"/>
      <c r="T13" s="574"/>
      <c r="U13" s="574"/>
      <c r="V13" s="574"/>
      <c r="W13" s="575"/>
      <c r="X13" s="574"/>
      <c r="Y13" s="574"/>
      <c r="Z13" s="574"/>
      <c r="AA13" s="635"/>
    </row>
    <row r="14" spans="1:28" s="636" customFormat="1" ht="14.4">
      <c r="A14" s="626"/>
      <c r="B14" s="626"/>
      <c r="C14" s="626"/>
      <c r="D14" s="626"/>
      <c r="E14" s="626"/>
      <c r="F14" s="626"/>
      <c r="G14" s="655"/>
      <c r="H14" s="655"/>
      <c r="I14" s="655"/>
      <c r="J14" s="655"/>
      <c r="K14" s="655"/>
      <c r="L14" s="655"/>
      <c r="M14" s="655"/>
      <c r="N14" s="574"/>
      <c r="O14" s="574"/>
      <c r="P14" s="574"/>
      <c r="Q14" s="574"/>
      <c r="R14" s="574"/>
      <c r="S14" s="575"/>
      <c r="T14" s="574"/>
      <c r="U14" s="574"/>
      <c r="V14" s="574"/>
      <c r="W14" s="575"/>
      <c r="X14" s="574"/>
      <c r="Y14" s="574"/>
      <c r="Z14" s="574"/>
      <c r="AA14" s="635"/>
    </row>
    <row r="15" spans="1:28" s="636" customFormat="1" ht="14.4">
      <c r="A15" s="626"/>
      <c r="B15" s="626"/>
      <c r="C15" s="626"/>
      <c r="D15" s="626"/>
      <c r="E15" s="626"/>
      <c r="F15" s="626"/>
      <c r="G15" s="1185" t="s">
        <v>235</v>
      </c>
      <c r="H15" s="1185"/>
      <c r="I15" s="1185"/>
      <c r="J15" s="1185"/>
      <c r="K15" s="1185"/>
      <c r="L15" s="1185"/>
      <c r="M15" s="1185"/>
      <c r="N15" s="574">
        <f>+SUMIF(Manual!$2:$2,_xlfn.CONCAT("*",N$3),Manual!$36:$36)</f>
        <v>323855</v>
      </c>
      <c r="O15" s="574">
        <f>+SUMIF(Manual!$2:$2,_xlfn.CONCAT("*",O$3),Manual!$36:$36)</f>
        <v>291918</v>
      </c>
      <c r="P15" s="574">
        <f>+SUMIF(Manual!$2:$2,_xlfn.CONCAT("*",P$3),Manual!$36:$36)</f>
        <v>358860</v>
      </c>
      <c r="Q15" s="574">
        <f>+SUMIF(Manual!$2:$2,_xlfn.CONCAT("*",Q$3),Manual!$36:$36)</f>
        <v>370396</v>
      </c>
      <c r="R15" s="574">
        <f>+SUMIF(Manual!$2:$2,_xlfn.CONCAT("*",R$3),Manual!$36:$36)</f>
        <v>331787</v>
      </c>
      <c r="S15" s="575">
        <f>+SUMIF(Manual!$2:$2,S$3,Manual!$36:$36)</f>
        <v>86415</v>
      </c>
      <c r="T15" s="574">
        <f>+SUMIF(Manual!$2:$2,T$3,Manual!$36:$36)</f>
        <v>89850</v>
      </c>
      <c r="U15" s="574">
        <f>+SUMIF(Manual!$2:$2,U$3,Manual!$36:$36)</f>
        <v>79379</v>
      </c>
      <c r="V15" s="574">
        <f>+SUMIF(Manual!$2:$2,V$3,Manual!$36:$36)</f>
        <v>76143</v>
      </c>
      <c r="W15" s="575">
        <f>+SUMIF(Manual!$2:$2,W$3,Manual!$36:$36)</f>
        <v>74054</v>
      </c>
      <c r="X15" s="574">
        <f>+SUMIF(Manual!$2:$2,X$3,Manual!$36:$36)</f>
        <v>78904</v>
      </c>
      <c r="Y15" s="574"/>
      <c r="Z15" s="574"/>
      <c r="AA15" s="635"/>
    </row>
    <row r="16" spans="1:28" ht="15" customHeight="1">
      <c r="G16" s="655"/>
      <c r="H16" s="655"/>
      <c r="I16" s="655"/>
      <c r="J16" s="655"/>
      <c r="K16" s="655"/>
      <c r="L16" s="655"/>
      <c r="M16" s="655"/>
      <c r="N16" s="153"/>
      <c r="O16" s="153"/>
      <c r="P16" s="153"/>
      <c r="Q16" s="153"/>
      <c r="R16" s="153"/>
      <c r="S16" s="154"/>
      <c r="T16" s="153"/>
      <c r="U16" s="153"/>
      <c r="V16" s="153"/>
      <c r="W16" s="154"/>
      <c r="X16" s="153"/>
      <c r="Y16" s="153"/>
      <c r="Z16" s="153"/>
      <c r="AA16"/>
    </row>
    <row r="17" spans="1:27" ht="14.4">
      <c r="G17" s="655"/>
      <c r="H17" s="655"/>
      <c r="I17" s="655"/>
      <c r="J17" s="655"/>
      <c r="K17" s="655"/>
      <c r="L17" s="655"/>
      <c r="M17" s="655"/>
      <c r="N17" s="153"/>
      <c r="O17" s="153"/>
      <c r="P17" s="153"/>
      <c r="Q17" s="153"/>
      <c r="R17" s="153"/>
      <c r="S17" s="154"/>
      <c r="T17" s="153"/>
      <c r="U17" s="153"/>
      <c r="V17" s="153"/>
      <c r="W17" s="154"/>
      <c r="X17" s="153"/>
      <c r="Y17" s="153"/>
      <c r="Z17" s="153"/>
      <c r="AA17"/>
    </row>
    <row r="18" spans="1:27" s="610" customFormat="1" ht="14.4">
      <c r="A18" s="600"/>
      <c r="B18" s="600"/>
      <c r="C18" s="600"/>
      <c r="D18" s="600"/>
      <c r="E18" s="600"/>
      <c r="F18" s="600"/>
      <c r="G18" s="1185" t="s">
        <v>516</v>
      </c>
      <c r="H18" s="1185"/>
      <c r="I18" s="1185"/>
      <c r="J18" s="1185"/>
      <c r="K18" s="1185"/>
      <c r="L18" s="1185"/>
      <c r="M18" s="1185"/>
      <c r="N18" s="570">
        <f>+SUMIF(Manual!$2:$2,_xlfn.CONCAT("*",N$3),Manual!$40:$40)</f>
        <v>108521.12700000001</v>
      </c>
      <c r="O18" s="570">
        <f>+SUMIF(Manual!$2:$2,_xlfn.CONCAT("*",O$3),Manual!$40:$40)</f>
        <v>103821.823</v>
      </c>
      <c r="P18" s="570">
        <f>+SUMIF(Manual!$2:$2,_xlfn.CONCAT("*",P$3),Manual!$40:$40)</f>
        <v>119101.66199999998</v>
      </c>
      <c r="Q18" s="570">
        <f>+SUMIF(Manual!$2:$2,_xlfn.CONCAT("*",Q$3),Manual!$40:$40)</f>
        <v>122233.022</v>
      </c>
      <c r="R18" s="570">
        <f>+SUMIF(Manual!$2:$2,_xlfn.CONCAT("*",R$3),Manual!$40:$40)</f>
        <v>111881.73300000001</v>
      </c>
      <c r="S18" s="571">
        <f>+SUMIF(Manual!$2:$2,S$3,Manual!$40:$40)</f>
        <v>28454.562999999998</v>
      </c>
      <c r="T18" s="570">
        <f>+SUMIF(Manual!$2:$2,T$3,Manual!$40:$40)</f>
        <v>30292.181</v>
      </c>
      <c r="U18" s="570">
        <f>+SUMIF(Manual!$2:$2,U$3,Manual!$40:$40)</f>
        <v>27066.787</v>
      </c>
      <c r="V18" s="570">
        <f>+SUMIF(Manual!$2:$2,V$3,Manual!$40:$40)</f>
        <v>26068.202000000001</v>
      </c>
      <c r="W18" s="571">
        <f>+SUMIF(Manual!$2:$2,W$3,Manual!$40:$40)</f>
        <v>25677.741999999998</v>
      </c>
      <c r="X18" s="570">
        <f>+SUMIF(Manual!$2:$2,X$3,Manual!$40:$40)</f>
        <v>27736.51</v>
      </c>
      <c r="Y18" s="570"/>
      <c r="Z18" s="570"/>
      <c r="AA18" s="609"/>
    </row>
    <row r="19" spans="1:27" ht="15" customHeight="1">
      <c r="G19" s="706"/>
      <c r="H19" s="655"/>
      <c r="I19" s="655"/>
      <c r="J19" s="655"/>
      <c r="K19" s="655"/>
      <c r="L19" s="655"/>
      <c r="M19" s="655"/>
      <c r="N19" s="155"/>
      <c r="O19" s="155"/>
      <c r="P19" s="155"/>
      <c r="Q19" s="155"/>
      <c r="R19" s="155"/>
      <c r="S19" s="156"/>
      <c r="T19" s="155"/>
      <c r="U19" s="155"/>
      <c r="V19" s="155"/>
      <c r="W19" s="156"/>
      <c r="X19" s="155"/>
      <c r="Y19" s="155"/>
      <c r="Z19" s="155"/>
      <c r="AA19"/>
    </row>
    <row r="20" spans="1:27" ht="14.4">
      <c r="G20" s="706"/>
      <c r="H20" s="655"/>
      <c r="I20" s="655"/>
      <c r="J20" s="655"/>
      <c r="K20" s="655"/>
      <c r="L20" s="655"/>
      <c r="M20" s="655"/>
      <c r="N20" s="155"/>
      <c r="O20" s="155"/>
      <c r="P20" s="155"/>
      <c r="Q20" s="155"/>
      <c r="R20" s="155"/>
      <c r="S20" s="156"/>
      <c r="T20" s="155"/>
      <c r="U20" s="155"/>
      <c r="V20" s="155"/>
      <c r="W20" s="156"/>
      <c r="X20" s="155"/>
      <c r="Y20" s="155"/>
      <c r="Z20" s="155"/>
      <c r="AA20"/>
    </row>
    <row r="21" spans="1:27" s="610" customFormat="1" ht="14.4">
      <c r="A21" s="600"/>
      <c r="B21" s="600"/>
      <c r="C21" s="600"/>
      <c r="D21" s="600"/>
      <c r="E21" s="600"/>
      <c r="F21" s="600"/>
      <c r="G21" s="1185" t="s">
        <v>874</v>
      </c>
      <c r="H21" s="1185"/>
      <c r="I21" s="1185"/>
      <c r="J21" s="1185"/>
      <c r="K21" s="1185"/>
      <c r="L21" s="1185"/>
      <c r="M21" s="1185"/>
      <c r="N21" s="570">
        <f>+SUMIF(Manual!$2:$2,_xlfn.CONCAT("Q1",CHAR(10),N$3),Manual!$39:$39)</f>
        <v>858818.32872787968</v>
      </c>
      <c r="O21" s="570">
        <f>+SUMIF(Manual!$2:$2,_xlfn.CONCAT("Q1",CHAR(10),O$3),Manual!$39:$39)</f>
        <v>903403.8757278797</v>
      </c>
      <c r="P21" s="570">
        <f>+SUMIF(Manual!$2:$2,_xlfn.CONCAT("Q1",CHAR(10),P$3),Manual!$39:$39)</f>
        <v>916807.8957278796</v>
      </c>
      <c r="Q21" s="570">
        <f>+SUMIF(Manual!$2:$2,_xlfn.CONCAT("Q1",CHAR(10),Q$3),Manual!$39:$39)</f>
        <v>944609.4377278795</v>
      </c>
      <c r="R21" s="570">
        <f>+SUMIF(Manual!$2:$2,_xlfn.CONCAT("Q1",CHAR(10),R$3),Manual!$39:$39)</f>
        <v>953583.10072787956</v>
      </c>
      <c r="S21" s="571">
        <f>+SUMIF(Manual!$2:$2,S$3,Manual!$39:$39)</f>
        <v>953583.10072787956</v>
      </c>
      <c r="T21" s="570">
        <f>+SUMIF(Manual!$2:$2,T$3,Manual!$39:$39)</f>
        <v>956981.32372787944</v>
      </c>
      <c r="U21" s="570">
        <f>+SUMIF(Manual!$2:$2,U$3,Manual!$39:$39)</f>
        <v>968311.79672787944</v>
      </c>
      <c r="V21" s="570">
        <f>+SUMIF(Manual!$2:$2,V$3,Manual!$39:$39)</f>
        <v>967023.53872787941</v>
      </c>
      <c r="W21" s="571">
        <f>+SUMIF(Manual!$2:$2,W$3,Manual!$39:$39)</f>
        <v>967612.22472787951</v>
      </c>
      <c r="X21" s="570">
        <f>+SUMIF(Manual!$2:$2,X$3,Manual!$39:$39)</f>
        <v>965671.36772787943</v>
      </c>
      <c r="Y21" s="570"/>
      <c r="Z21" s="570"/>
      <c r="AA21" s="609"/>
    </row>
    <row r="22" spans="1:27" s="636" customFormat="1" ht="15" customHeight="1">
      <c r="A22" s="626"/>
      <c r="B22" s="626"/>
      <c r="C22" s="626"/>
      <c r="D22" s="626"/>
      <c r="E22" s="626"/>
      <c r="F22" s="626"/>
      <c r="G22" s="706"/>
      <c r="H22" s="1185" t="s">
        <v>516</v>
      </c>
      <c r="I22" s="1185"/>
      <c r="J22" s="1185"/>
      <c r="K22" s="1185"/>
      <c r="L22" s="1185"/>
      <c r="M22" s="1185"/>
      <c r="N22" s="574">
        <f>+SUMIF(Manual!$2:$2,_xlfn.CONCAT("*",N$3),Manual!$40:$40)</f>
        <v>108521.12700000001</v>
      </c>
      <c r="O22" s="574">
        <f>+SUMIF(Manual!$2:$2,_xlfn.CONCAT("*",O$3),Manual!$40:$40)</f>
        <v>103821.823</v>
      </c>
      <c r="P22" s="574">
        <f>+SUMIF(Manual!$2:$2,_xlfn.CONCAT("*",P$3),Manual!$40:$40)</f>
        <v>119101.66199999998</v>
      </c>
      <c r="Q22" s="574">
        <f>+SUMIF(Manual!$2:$2,_xlfn.CONCAT("*",Q$3),Manual!$40:$40)</f>
        <v>122233.022</v>
      </c>
      <c r="R22" s="574">
        <f>+SUMIF(Manual!$2:$2,_xlfn.CONCAT("*",R$3),Manual!$40:$40)</f>
        <v>111881.73300000001</v>
      </c>
      <c r="S22" s="575">
        <f>+SUMIF(Manual!$2:$2,S$3,Manual!$40:$40)</f>
        <v>28454.562999999998</v>
      </c>
      <c r="T22" s="574">
        <f>+SUMIF(Manual!$2:$2,T$3,Manual!$40:$40)</f>
        <v>30292.181</v>
      </c>
      <c r="U22" s="574">
        <f>+SUMIF(Manual!$2:$2,U$3,Manual!$40:$40)</f>
        <v>27066.787</v>
      </c>
      <c r="V22" s="574">
        <f>+SUMIF(Manual!$2:$2,V$3,Manual!$40:$40)</f>
        <v>26068.202000000001</v>
      </c>
      <c r="W22" s="575">
        <f>+SUMIF(Manual!$2:$2,W$3,Manual!$40:$40)</f>
        <v>25677.741999999998</v>
      </c>
      <c r="X22" s="574">
        <f>+SUMIF(Manual!$2:$2,X$3,Manual!$40:$40)</f>
        <v>27736.51</v>
      </c>
      <c r="Y22" s="574"/>
      <c r="Z22" s="574"/>
      <c r="AA22" s="635"/>
    </row>
    <row r="23" spans="1:27" s="636" customFormat="1" ht="15" customHeight="1">
      <c r="A23" s="626"/>
      <c r="B23" s="626"/>
      <c r="C23" s="626"/>
      <c r="D23" s="626"/>
      <c r="E23" s="626"/>
      <c r="F23" s="626"/>
      <c r="G23" s="706"/>
      <c r="H23" s="1185" t="s">
        <v>238</v>
      </c>
      <c r="I23" s="1185"/>
      <c r="J23" s="1185"/>
      <c r="K23" s="1185"/>
      <c r="L23" s="1185"/>
      <c r="M23" s="1185"/>
      <c r="N23" s="574">
        <f>+SUMIF(Manual!$2:$2,_xlfn.CONCAT("*",N$3),Manual!$41:$41)</f>
        <v>-64797.861000000004</v>
      </c>
      <c r="O23" s="574">
        <f>+SUMIF(Manual!$2:$2,_xlfn.CONCAT("*",O$3),Manual!$41:$41)</f>
        <v>-82893.635999999999</v>
      </c>
      <c r="P23" s="574">
        <f>+SUMIF(Manual!$2:$2,_xlfn.CONCAT("*",P$3),Manual!$41:$41)</f>
        <v>-94229.572</v>
      </c>
      <c r="Q23" s="574">
        <f>+SUMIF(Manual!$2:$2,_xlfn.CONCAT("*",Q$3),Manual!$41:$41)</f>
        <v>-103872.048</v>
      </c>
      <c r="R23" s="574">
        <f>+SUMIF(Manual!$2:$2,_xlfn.CONCAT("*",R$3),Manual!$41:$41)</f>
        <v>-103103.454</v>
      </c>
      <c r="S23" s="575">
        <f>+SUMIF(Manual!$2:$2,S$3,Manual!$41:$41)</f>
        <v>-24979.402999999998</v>
      </c>
      <c r="T23" s="574">
        <f>+SUMIF(Manual!$2:$2,T$3,Manual!$41:$41)</f>
        <v>-24795.365000000002</v>
      </c>
      <c r="U23" s="574">
        <f>+SUMIF(Manual!$2:$2,U$3,Manual!$41:$41)</f>
        <v>-26159.046999999999</v>
      </c>
      <c r="V23" s="574">
        <f>+SUMIF(Manual!$2:$2,V$3,Manual!$41:$41)</f>
        <v>-27169.638999999999</v>
      </c>
      <c r="W23" s="575">
        <f>+SUMIF(Manual!$2:$2,W$3,Manual!$41:$41)</f>
        <v>-25577.544999999998</v>
      </c>
      <c r="X23" s="574">
        <f>+SUMIF(Manual!$2:$2,X$3,Manual!$41:$41)</f>
        <v>-23645.401999999998</v>
      </c>
      <c r="Y23" s="574"/>
      <c r="Z23" s="574"/>
      <c r="AA23" s="635"/>
    </row>
    <row r="24" spans="1:27" s="636" customFormat="1" ht="15" customHeight="1">
      <c r="A24" s="626"/>
      <c r="B24" s="626"/>
      <c r="C24" s="626"/>
      <c r="D24" s="626"/>
      <c r="E24" s="626"/>
      <c r="F24" s="626"/>
      <c r="G24" s="706"/>
      <c r="H24" s="1185" t="s">
        <v>239</v>
      </c>
      <c r="I24" s="1185"/>
      <c r="J24" s="1185"/>
      <c r="K24" s="1185"/>
      <c r="L24" s="1185"/>
      <c r="M24" s="1185"/>
      <c r="N24" s="574">
        <f>+SUMIF(Manual!$2:$2,_xlfn.CONCAT("*",N$3),Manual!$42:$42)</f>
        <v>862.28100000000006</v>
      </c>
      <c r="O24" s="574">
        <f>+SUMIF(Manual!$2:$2,_xlfn.CONCAT("*",O$3),Manual!$42:$42)</f>
        <v>-7524.1670000000013</v>
      </c>
      <c r="P24" s="574">
        <f>+SUMIF(Manual!$2:$2,_xlfn.CONCAT("*",P$3),Manual!$42:$42)</f>
        <v>2929.4519999999998</v>
      </c>
      <c r="Q24" s="574">
        <f>+SUMIF(Manual!$2:$2,_xlfn.CONCAT("*",Q$3),Manual!$42:$42)</f>
        <v>-9387.3109999999997</v>
      </c>
      <c r="R24" s="574">
        <f>+SUMIF(Manual!$2:$2,_xlfn.CONCAT("*",R$3),Manual!$42:$42)</f>
        <v>5250.8450000000003</v>
      </c>
      <c r="S24" s="575">
        <f>+SUMIF(Manual!$2:$2,S$3,Manual!$42:$42)</f>
        <v>-76.936999999999998</v>
      </c>
      <c r="T24" s="574">
        <f>+SUMIF(Manual!$2:$2,T$3,Manual!$42:$42)</f>
        <v>5833.6570000000002</v>
      </c>
      <c r="U24" s="574">
        <f>+SUMIF(Manual!$2:$2,U$3,Manual!$42:$42)</f>
        <v>-2195.998</v>
      </c>
      <c r="V24" s="574">
        <f>+SUMIF(Manual!$2:$2,V$3,Manual!$42:$42)</f>
        <v>1690.123</v>
      </c>
      <c r="W24" s="575">
        <f>+SUMIF(Manual!$2:$2,W$3,Manual!$42:$42)</f>
        <v>-2041.0540000000001</v>
      </c>
      <c r="X24" s="574">
        <f>+SUMIF(Manual!$2:$2,X$3,Manual!$42:$42)</f>
        <v>-1857.963</v>
      </c>
      <c r="Y24" s="574"/>
      <c r="Z24" s="574"/>
      <c r="AA24" s="635"/>
    </row>
    <row r="25" spans="1:27" s="610" customFormat="1" ht="15.75" customHeight="1" thickBot="1">
      <c r="A25" s="600"/>
      <c r="B25" s="600"/>
      <c r="C25" s="600"/>
      <c r="D25" s="600"/>
      <c r="E25" s="600"/>
      <c r="F25" s="600"/>
      <c r="G25" s="1185" t="s">
        <v>517</v>
      </c>
      <c r="H25" s="1185"/>
      <c r="I25" s="1185"/>
      <c r="J25" s="1185"/>
      <c r="K25" s="1185"/>
      <c r="L25" s="1185"/>
      <c r="M25" s="1185"/>
      <c r="N25" s="572">
        <f t="shared" ref="N25:W25" si="3">+SUM(N21:N24)</f>
        <v>903403.87572787958</v>
      </c>
      <c r="O25" s="572">
        <f t="shared" si="3"/>
        <v>916807.89572787972</v>
      </c>
      <c r="P25" s="572">
        <f t="shared" si="3"/>
        <v>944609.43772787962</v>
      </c>
      <c r="Q25" s="572">
        <f t="shared" si="3"/>
        <v>953583.10072787968</v>
      </c>
      <c r="R25" s="572">
        <f t="shared" si="3"/>
        <v>967612.22472787939</v>
      </c>
      <c r="S25" s="573">
        <f t="shared" si="3"/>
        <v>956981.32372787944</v>
      </c>
      <c r="T25" s="572">
        <f t="shared" si="3"/>
        <v>968311.79672787944</v>
      </c>
      <c r="U25" s="572">
        <f t="shared" si="3"/>
        <v>967023.53872787941</v>
      </c>
      <c r="V25" s="572">
        <f t="shared" si="3"/>
        <v>967612.22472787951</v>
      </c>
      <c r="W25" s="573">
        <f t="shared" si="3"/>
        <v>965671.36772787943</v>
      </c>
      <c r="X25" s="572">
        <f t="shared" ref="X25" si="4">+SUM(X21:X24)</f>
        <v>967904.51272787945</v>
      </c>
      <c r="Y25" s="572"/>
      <c r="Z25" s="572"/>
      <c r="AA25" s="609"/>
    </row>
    <row r="26" spans="1:27" ht="15.75" customHeight="1" thickTop="1">
      <c r="G26" s="655"/>
      <c r="H26" s="655"/>
      <c r="I26" s="655"/>
      <c r="J26" s="655"/>
      <c r="K26" s="655"/>
      <c r="L26" s="655"/>
      <c r="M26" s="655"/>
      <c r="N26" s="153"/>
      <c r="O26" s="153"/>
      <c r="P26" s="153"/>
      <c r="Q26" s="153"/>
      <c r="R26" s="153"/>
      <c r="S26" s="154"/>
      <c r="T26" s="153"/>
      <c r="U26" s="153"/>
      <c r="V26" s="153"/>
      <c r="W26" s="154"/>
      <c r="X26" s="153"/>
      <c r="Y26" s="153"/>
      <c r="Z26" s="153"/>
      <c r="AA26"/>
    </row>
    <row r="27" spans="1:27" ht="14.4">
      <c r="G27" s="655"/>
      <c r="H27" s="655"/>
      <c r="I27" s="655"/>
      <c r="J27" s="655"/>
      <c r="K27" s="655"/>
      <c r="L27" s="655"/>
      <c r="M27" s="655"/>
      <c r="N27" s="153"/>
      <c r="O27" s="153"/>
      <c r="P27" s="153"/>
      <c r="Q27" s="153"/>
      <c r="R27" s="153"/>
      <c r="S27" s="154"/>
      <c r="T27" s="153"/>
      <c r="U27" s="153"/>
      <c r="V27" s="153"/>
      <c r="W27" s="154"/>
      <c r="X27" s="153"/>
      <c r="Y27" s="153"/>
      <c r="Z27" s="153"/>
      <c r="AA27"/>
    </row>
    <row r="28" spans="1:27" ht="14.4">
      <c r="G28" s="1185" t="s">
        <v>518</v>
      </c>
      <c r="H28" s="1185"/>
      <c r="I28" s="1185"/>
      <c r="J28" s="1185"/>
      <c r="K28" s="1185"/>
      <c r="L28" s="1185"/>
      <c r="M28" s="1185"/>
      <c r="N28" s="155"/>
      <c r="O28" s="155"/>
      <c r="P28" s="155"/>
      <c r="Q28" s="155"/>
      <c r="R28" s="155"/>
      <c r="S28" s="156"/>
      <c r="T28" s="155"/>
      <c r="U28" s="155"/>
      <c r="V28" s="155"/>
      <c r="W28" s="156"/>
      <c r="X28" s="155"/>
      <c r="Y28" s="155"/>
      <c r="Z28" s="155"/>
      <c r="AA28"/>
    </row>
    <row r="29" spans="1:27" s="746" customFormat="1" ht="15" customHeight="1">
      <c r="A29" s="744"/>
      <c r="B29" s="744"/>
      <c r="C29" s="744"/>
      <c r="D29" s="744"/>
      <c r="E29" s="744"/>
      <c r="F29" s="744"/>
      <c r="G29" s="706"/>
      <c r="H29" s="1185" t="s">
        <v>232</v>
      </c>
      <c r="I29" s="1185"/>
      <c r="J29" s="1185"/>
      <c r="K29" s="1185"/>
      <c r="L29" s="1185"/>
      <c r="M29" s="1185"/>
      <c r="N29" s="884">
        <f>+SUMIF(Manual!$2:$2,_xlfn.CONCAT("*",N$3),Manual!$32:$32)</f>
        <v>297.23400000000004</v>
      </c>
      <c r="O29" s="884">
        <f>+SUMIF(Manual!$2:$2,_xlfn.CONCAT("*",O$3),Manual!$32:$32)</f>
        <v>271.87900000000002</v>
      </c>
      <c r="P29" s="884">
        <f>+SUMIF(Manual!$2:$2,_xlfn.CONCAT("*",P$3),Manual!$32:$32)</f>
        <v>302.35599999999999</v>
      </c>
      <c r="Q29" s="884">
        <f>+SUMIF(Manual!$2:$2,_xlfn.CONCAT("*",Q$3),Manual!$32:$32)</f>
        <v>317.97499999999997</v>
      </c>
      <c r="R29" s="884">
        <f>+SUMIF(Manual!$2:$2,_xlfn.CONCAT("*",R$3),Manual!$32:$32)</f>
        <v>289.863</v>
      </c>
      <c r="S29" s="885">
        <f>+SUMIF(Manual!$2:$2,S$3,Manual!$32:$32)</f>
        <v>74.435000000000002</v>
      </c>
      <c r="T29" s="884">
        <f>+SUMIF(Manual!$2:$2,T$3,Manual!$32:$32)</f>
        <v>78.501999999999995</v>
      </c>
      <c r="U29" s="884">
        <f>+SUMIF(Manual!$2:$2,U$3,Manual!$32:$32)</f>
        <v>69.802999999999997</v>
      </c>
      <c r="V29" s="884">
        <f>+SUMIF(Manual!$2:$2,V$3,Manual!$32:$32)</f>
        <v>67.123000000000005</v>
      </c>
      <c r="W29" s="885">
        <f>+SUMIF(Manual!$2:$2,W$3,Manual!$32:$32)</f>
        <v>64.875</v>
      </c>
      <c r="X29" s="884">
        <f>+SUMIF(Manual!$2:$2,X$3,Manual!$32:$32)</f>
        <v>70.332999999999998</v>
      </c>
      <c r="Y29" s="884"/>
      <c r="Z29" s="884"/>
      <c r="AA29" s="745"/>
    </row>
    <row r="30" spans="1:27" s="746" customFormat="1" ht="15" customHeight="1">
      <c r="A30" s="744"/>
      <c r="B30" s="744"/>
      <c r="C30" s="744"/>
      <c r="D30" s="744"/>
      <c r="E30" s="744"/>
      <c r="F30" s="744"/>
      <c r="G30" s="706"/>
      <c r="H30" s="1185" t="s">
        <v>233</v>
      </c>
      <c r="I30" s="1185"/>
      <c r="J30" s="1185"/>
      <c r="K30" s="1185"/>
      <c r="L30" s="1185"/>
      <c r="M30" s="1185"/>
      <c r="N30" s="1016">
        <f>+SUMIF(Manual!$2:$2,_xlfn.CONCAT("*",N$3),Manual!$33:$33)</f>
        <v>76.99199999999999</v>
      </c>
      <c r="O30" s="1016">
        <f>+SUMIF(Manual!$2:$2,_xlfn.CONCAT("*",O$3),Manual!$33:$33)</f>
        <v>76.649999999999991</v>
      </c>
      <c r="P30" s="1016">
        <f>+SUMIF(Manual!$2:$2,_xlfn.CONCAT("*",P$3),Manual!$33:$33)</f>
        <v>74.260999999999996</v>
      </c>
      <c r="Q30" s="1016">
        <f>+SUMIF(Manual!$2:$2,_xlfn.CONCAT("*",Q$3),Manual!$33:$33)</f>
        <v>74.688000000000002</v>
      </c>
      <c r="R30" s="1016">
        <f>+SUMIF(Manual!$2:$2,_xlfn.CONCAT("*",R$3),Manual!$33:$33)</f>
        <v>75.55</v>
      </c>
      <c r="S30" s="1017">
        <f>+SUMIF(Manual!$2:$2,S$3,Manual!$33:$33)</f>
        <v>18.527999999999992</v>
      </c>
      <c r="T30" s="1016">
        <f>+SUMIF(Manual!$2:$2,T$3,Manual!$33:$33)</f>
        <v>20.167000000000002</v>
      </c>
      <c r="U30" s="1016">
        <f>+SUMIF(Manual!$2:$2,U$3,Manual!$33:$33)</f>
        <v>18.972000000000008</v>
      </c>
      <c r="V30" s="1016">
        <f>+SUMIF(Manual!$2:$2,V$3,Manual!$33:$33)</f>
        <v>17.882999999999996</v>
      </c>
      <c r="W30" s="1017">
        <f>+SUMIF(Manual!$2:$2,W$3,Manual!$33:$33)</f>
        <v>18.400000000000006</v>
      </c>
      <c r="X30" s="1016">
        <f>+SUMIF(Manual!$2:$2,X$3,Manual!$33:$33)</f>
        <v>19.540000000000006</v>
      </c>
      <c r="Y30" s="1016"/>
      <c r="Z30" s="1016"/>
      <c r="AA30" s="745"/>
    </row>
    <row r="31" spans="1:27" s="746" customFormat="1" ht="15.75" customHeight="1" thickBot="1">
      <c r="A31" s="744"/>
      <c r="B31" s="744"/>
      <c r="C31" s="744"/>
      <c r="D31" s="744"/>
      <c r="E31" s="744"/>
      <c r="F31" s="744"/>
      <c r="G31" s="655"/>
      <c r="H31" s="706"/>
      <c r="I31" s="1186" t="s">
        <v>234</v>
      </c>
      <c r="J31" s="1186"/>
      <c r="K31" s="1186"/>
      <c r="L31" s="1186"/>
      <c r="M31" s="1186"/>
      <c r="N31" s="886">
        <f>+SUM(N29:N30)</f>
        <v>374.226</v>
      </c>
      <c r="O31" s="886">
        <f t="shared" ref="O31:W31" si="5">+SUM(O29:O30)</f>
        <v>348.529</v>
      </c>
      <c r="P31" s="886">
        <f t="shared" si="5"/>
        <v>376.61699999999996</v>
      </c>
      <c r="Q31" s="886">
        <f t="shared" si="5"/>
        <v>392.66299999999995</v>
      </c>
      <c r="R31" s="886">
        <f t="shared" si="5"/>
        <v>365.41300000000001</v>
      </c>
      <c r="S31" s="887">
        <f t="shared" si="5"/>
        <v>92.962999999999994</v>
      </c>
      <c r="T31" s="886">
        <f t="shared" si="5"/>
        <v>98.668999999999997</v>
      </c>
      <c r="U31" s="886">
        <f t="shared" si="5"/>
        <v>88.775000000000006</v>
      </c>
      <c r="V31" s="886">
        <f t="shared" si="5"/>
        <v>85.006</v>
      </c>
      <c r="W31" s="887">
        <f t="shared" si="5"/>
        <v>83.275000000000006</v>
      </c>
      <c r="X31" s="886">
        <f t="shared" ref="X31" si="6">+SUM(X29:X30)</f>
        <v>89.873000000000005</v>
      </c>
      <c r="Y31" s="886"/>
      <c r="Z31" s="886"/>
      <c r="AA31" s="745"/>
    </row>
    <row r="32" spans="1:27" ht="15.75" customHeight="1" thickTop="1">
      <c r="G32" s="655"/>
      <c r="H32" s="706"/>
      <c r="I32" s="706"/>
      <c r="J32" s="706"/>
      <c r="K32" s="655"/>
      <c r="L32" s="655"/>
      <c r="M32" s="655"/>
      <c r="N32" s="157"/>
      <c r="O32" s="157"/>
      <c r="P32" s="157"/>
      <c r="Q32" s="157"/>
      <c r="R32" s="157"/>
      <c r="S32" s="158"/>
      <c r="T32" s="157"/>
      <c r="U32" s="157"/>
      <c r="V32" s="157"/>
      <c r="W32" s="158"/>
      <c r="X32" s="157"/>
      <c r="Y32" s="157"/>
      <c r="Z32" s="157"/>
      <c r="AA32"/>
    </row>
    <row r="33" spans="1:27" ht="14.4">
      <c r="G33" s="655"/>
      <c r="H33" s="655"/>
      <c r="I33" s="655"/>
      <c r="J33" s="655"/>
      <c r="K33" s="655"/>
      <c r="L33" s="655"/>
      <c r="M33" s="655"/>
      <c r="N33" s="153"/>
      <c r="O33" s="153"/>
      <c r="P33" s="153"/>
      <c r="Q33" s="153"/>
      <c r="R33" s="153"/>
      <c r="S33" s="154"/>
      <c r="T33" s="153"/>
      <c r="U33" s="153"/>
      <c r="V33" s="153"/>
      <c r="W33" s="154"/>
      <c r="X33" s="153"/>
      <c r="Y33" s="153"/>
      <c r="Z33" s="153"/>
      <c r="AA33"/>
    </row>
    <row r="34" spans="1:27" s="746" customFormat="1" ht="14.4">
      <c r="A34" s="744"/>
      <c r="B34" s="744"/>
      <c r="C34" s="744"/>
      <c r="D34" s="744"/>
      <c r="E34" s="744"/>
      <c r="F34" s="744"/>
      <c r="G34" s="1185" t="s">
        <v>519</v>
      </c>
      <c r="H34" s="1185"/>
      <c r="I34" s="1185"/>
      <c r="J34" s="1185"/>
      <c r="K34" s="1185"/>
      <c r="L34" s="1185"/>
      <c r="M34" s="1185"/>
      <c r="N34" s="884">
        <f>+SUMIF(Manual!$2:$2,_xlfn.CONCAT("*",N$3),Manual!$55:$55)</f>
        <v>11703.158799999999</v>
      </c>
      <c r="O34" s="884">
        <f>+SUMIF(Manual!$2:$2,_xlfn.CONCAT("*",O$3),Manual!$55:$55)</f>
        <v>10008.968999999999</v>
      </c>
      <c r="P34" s="884">
        <f>+SUMIF(Manual!$2:$2,_xlfn.CONCAT("*",P$3),Manual!$55:$55)</f>
        <v>9211.7139999999999</v>
      </c>
      <c r="Q34" s="884">
        <f>+SUMIF(Manual!$2:$2,_xlfn.CONCAT("*",Q$3),Manual!$55:$55)</f>
        <v>12078.943000000001</v>
      </c>
      <c r="R34" s="884">
        <f>+SUMIF(Manual!$2:$2,_xlfn.CONCAT("*",R$3),Manual!$55:$55)</f>
        <v>14930.183999999999</v>
      </c>
      <c r="S34" s="885">
        <f>+SUMIF(Manual!$2:$2,S$3,Manual!$55:$55)</f>
        <v>3559.3489999999997</v>
      </c>
      <c r="T34" s="884">
        <f>+SUMIF(Manual!$2:$2,T$3,Manual!$55:$55)</f>
        <v>3548.3720000000003</v>
      </c>
      <c r="U34" s="884">
        <f>+SUMIF(Manual!$2:$2,U$3,Manual!$55:$55)</f>
        <v>3711.9100000000003</v>
      </c>
      <c r="V34" s="884">
        <f>+SUMIF(Manual!$2:$2,V$3,Manual!$55:$55)</f>
        <v>4110.5529999999999</v>
      </c>
      <c r="W34" s="885">
        <f>+SUMIF(Manual!$2:$2,W$3,Manual!$55:$55)</f>
        <v>4331.7629999999999</v>
      </c>
      <c r="X34" s="884">
        <f>+SUMIF(Manual!$2:$2,X$3,Manual!$55:$55)</f>
        <v>4357.3220000000001</v>
      </c>
      <c r="Y34" s="884"/>
      <c r="Z34" s="884"/>
      <c r="AA34" s="745"/>
    </row>
    <row r="35" spans="1:27" ht="15" customHeight="1">
      <c r="G35" s="655"/>
      <c r="H35" s="655"/>
      <c r="I35" s="655"/>
      <c r="J35" s="655"/>
      <c r="K35" s="655"/>
      <c r="L35" s="655"/>
      <c r="M35" s="655"/>
      <c r="N35" s="157"/>
      <c r="O35" s="157"/>
      <c r="P35" s="157"/>
      <c r="Q35" s="157"/>
      <c r="R35" s="157"/>
      <c r="S35" s="158"/>
      <c r="T35" s="157"/>
      <c r="U35" s="157"/>
      <c r="V35" s="157"/>
      <c r="W35" s="158"/>
      <c r="X35" s="157"/>
      <c r="Y35" s="157"/>
      <c r="Z35" s="157"/>
      <c r="AA35"/>
    </row>
    <row r="36" spans="1:27" s="610" customFormat="1" ht="14.4">
      <c r="A36" s="600"/>
      <c r="B36" s="600"/>
      <c r="C36" s="600"/>
      <c r="D36" s="600"/>
      <c r="E36" s="600"/>
      <c r="F36" s="600"/>
      <c r="G36" s="1185" t="s">
        <v>520</v>
      </c>
      <c r="H36" s="1185"/>
      <c r="I36" s="1185"/>
      <c r="J36" s="1185"/>
      <c r="K36" s="1185"/>
      <c r="L36" s="1185"/>
      <c r="M36" s="1185"/>
      <c r="N36" s="570">
        <f>+SUMIF(Manual!$2:$2,_xlfn.CONCAT("*",N$3),Manual!$72:$72)/4</f>
        <v>89992.544750000015</v>
      </c>
      <c r="O36" s="570">
        <f>+SUMIF(Manual!$2:$2,_xlfn.CONCAT("*",O$3),Manual!$72:$72)/4</f>
        <v>87193.099249999999</v>
      </c>
      <c r="P36" s="570">
        <f>+SUMIF(Manual!$2:$2,_xlfn.CONCAT("*",P$3),Manual!$72:$72)/4</f>
        <v>89473.638749999998</v>
      </c>
      <c r="Q36" s="570">
        <f>+SUMIF(Manual!$2:$2,_xlfn.CONCAT("*",Q$3),Manual!$72:$72)/4</f>
        <v>105742.45849999999</v>
      </c>
      <c r="R36" s="570">
        <f>+SUMIF(Manual!$2:$2,_xlfn.CONCAT("*",R$3),Manual!$72:$72)/4</f>
        <v>119571.23025000001</v>
      </c>
      <c r="S36" s="571">
        <f>+SUMIF(Manual!$2:$2,S$3,Manual!$72:$72)</f>
        <v>113017.531</v>
      </c>
      <c r="T36" s="570">
        <f>+SUMIF(Manual!$2:$2,T$3,Manual!$72:$72)</f>
        <v>113975.30899999999</v>
      </c>
      <c r="U36" s="570">
        <f>+SUMIF(Manual!$2:$2,U$3,Manual!$72:$72)</f>
        <v>123116.872</v>
      </c>
      <c r="V36" s="570">
        <f>+SUMIF(Manual!$2:$2,V$3,Manual!$72:$72)</f>
        <v>128175.20900000002</v>
      </c>
      <c r="W36" s="571">
        <f>+SUMIF(Manual!$2:$2,W$3,Manual!$72:$72)</f>
        <v>129875.145</v>
      </c>
      <c r="X36" s="570">
        <f>+SUMIF(Manual!$2:$2,X$3,Manual!$72:$72)</f>
        <v>135549.69</v>
      </c>
      <c r="Y36" s="570"/>
      <c r="Z36" s="570"/>
      <c r="AA36" s="609"/>
    </row>
    <row r="37" spans="1:27" ht="15" customHeight="1">
      <c r="G37" s="655"/>
      <c r="H37" s="655"/>
      <c r="I37" s="655"/>
      <c r="J37" s="655"/>
      <c r="K37" s="655"/>
      <c r="L37" s="655"/>
      <c r="M37" s="655"/>
      <c r="N37" s="147"/>
      <c r="O37" s="147"/>
      <c r="P37" s="147"/>
      <c r="Q37" s="147"/>
      <c r="R37" s="147"/>
      <c r="S37" s="159"/>
      <c r="T37" s="147"/>
      <c r="U37" s="147"/>
      <c r="V37" s="147"/>
      <c r="W37" s="159"/>
      <c r="X37" s="147"/>
      <c r="AA37"/>
    </row>
    <row r="38" spans="1:27" s="746" customFormat="1" ht="14.4">
      <c r="A38" s="744"/>
      <c r="B38" s="744"/>
      <c r="C38" s="744"/>
      <c r="D38" s="744"/>
      <c r="E38" s="744"/>
      <c r="F38" s="744"/>
      <c r="G38" s="1185" t="s">
        <v>521</v>
      </c>
      <c r="H38" s="1185"/>
      <c r="I38" s="1185"/>
      <c r="J38" s="1185"/>
      <c r="K38" s="1185"/>
      <c r="L38" s="1185"/>
      <c r="M38" s="1185"/>
      <c r="N38" s="884">
        <f>+SUMIF(Manual!$2:$2,_xlfn.CONCAT("*",N$3),Manual!$80:$80)</f>
        <v>1229.1619999999998</v>
      </c>
      <c r="O38" s="884">
        <f>+SUMIF(Manual!$2:$2,_xlfn.CONCAT("*",O$3),Manual!$80:$80)</f>
        <v>567.23500000000001</v>
      </c>
      <c r="P38" s="884">
        <f>+SUMIF(Manual!$2:$2,_xlfn.CONCAT("*",P$3),Manual!$80:$80)</f>
        <v>293.38900000000001</v>
      </c>
      <c r="Q38" s="884">
        <f>+SUMIF(Manual!$2:$2,_xlfn.CONCAT("*",Q$3),Manual!$80:$80)</f>
        <v>397.36899999999997</v>
      </c>
      <c r="R38" s="884">
        <f>+SUMIF(Manual!$2:$2,_xlfn.CONCAT("*",R$3),Manual!$80:$80)</f>
        <v>500.68400000000008</v>
      </c>
      <c r="S38" s="885">
        <f>+SUMIF(Manual!$2:$2,S$3,Manual!$80:$80)</f>
        <v>93.54</v>
      </c>
      <c r="T38" s="884">
        <f>+SUMIF(Manual!$2:$2,T$3,Manual!$80:$80)</f>
        <v>132.78800000000001</v>
      </c>
      <c r="U38" s="884">
        <f>+SUMIF(Manual!$2:$2,U$3,Manual!$80:$80)</f>
        <v>143.429</v>
      </c>
      <c r="V38" s="884">
        <f>+SUMIF(Manual!$2:$2,V$3,Manual!$80:$80)</f>
        <v>130.92699999999999</v>
      </c>
      <c r="W38" s="885">
        <f>+SUMIF(Manual!$2:$2,W$3,Manual!$80:$80)</f>
        <v>113.077</v>
      </c>
      <c r="X38" s="884">
        <f>+SUMIF(Manual!$2:$2,X$3,Manual!$80:$80)</f>
        <v>150.63</v>
      </c>
      <c r="Y38" s="884"/>
      <c r="Z38" s="884"/>
      <c r="AA38" s="745"/>
    </row>
    <row r="39" spans="1:27" ht="14.4">
      <c r="G39" s="993"/>
      <c r="H39" s="993"/>
      <c r="I39" s="993"/>
      <c r="J39" s="993"/>
      <c r="K39" s="993"/>
      <c r="L39" s="993"/>
      <c r="M39" s="993"/>
      <c r="AA39"/>
    </row>
    <row r="40" spans="1:27" ht="14.4">
      <c r="AA40"/>
    </row>
    <row r="41" spans="1:27" ht="14.4">
      <c r="G41" s="682"/>
      <c r="H41" s="682"/>
      <c r="I41" s="682"/>
      <c r="J41" s="682"/>
      <c r="K41" s="682"/>
      <c r="L41" s="682"/>
      <c r="M41" s="682"/>
      <c r="N41" s="160"/>
      <c r="O41" s="160"/>
      <c r="P41" s="160"/>
      <c r="Q41" s="160"/>
      <c r="R41" s="160"/>
      <c r="S41" s="160"/>
      <c r="T41" s="160"/>
      <c r="U41" s="160"/>
      <c r="V41" s="160"/>
      <c r="W41" s="160"/>
      <c r="X41" s="417"/>
      <c r="Y41" s="417"/>
      <c r="Z41" s="417"/>
      <c r="AA41"/>
    </row>
    <row r="42" spans="1:27" ht="14.4">
      <c r="AA42"/>
    </row>
  </sheetData>
  <sheetProtection formatCells="0"/>
  <mergeCells count="22">
    <mergeCell ref="G3:M3"/>
    <mergeCell ref="G6:M6"/>
    <mergeCell ref="G9:M9"/>
    <mergeCell ref="H10:M10"/>
    <mergeCell ref="G12:M12"/>
    <mergeCell ref="H11:M11"/>
    <mergeCell ref="G34:M34"/>
    <mergeCell ref="G38:M38"/>
    <mergeCell ref="H29:M29"/>
    <mergeCell ref="X1:Z1"/>
    <mergeCell ref="G36:M36"/>
    <mergeCell ref="G15:M15"/>
    <mergeCell ref="G21:M21"/>
    <mergeCell ref="H22:M22"/>
    <mergeCell ref="G25:M25"/>
    <mergeCell ref="G28:M28"/>
    <mergeCell ref="H1:W1"/>
    <mergeCell ref="H24:M24"/>
    <mergeCell ref="H30:M30"/>
    <mergeCell ref="I31:M31"/>
    <mergeCell ref="G18:M18"/>
    <mergeCell ref="H23:M23"/>
  </mergeCells>
  <pageMargins left="0.15" right="0.15" top="0.15" bottom="0.15" header="0" footer="0.15"/>
  <pageSetup scale="64" orientation="landscape" cellComments="asDisplayed" r:id="rId1"/>
  <headerFooter differentFirst="1" alignWithMargins="0">
    <oddFooter>Page &amp;P of &amp;N</oddFooter>
  </headerFooter>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58DC-D004-4C4A-ACE8-2C2CED17FD27}">
  <dimension ref="A1"/>
  <sheetViews>
    <sheetView workbookViewId="0"/>
  </sheetViews>
  <sheetFormatPr defaultRowHeight="14.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B604B-4193-4F86-A181-0267EFFD764A}">
  <sheetPr>
    <tabColor rgb="FFFFFF9B"/>
  </sheetPr>
  <dimension ref="A1:CI92"/>
  <sheetViews>
    <sheetView zoomScale="90" zoomScaleNormal="90" workbookViewId="0">
      <pane xSplit="7" ySplit="2" topLeftCell="BI3" activePane="bottomRight" state="frozen"/>
      <selection activeCell="I25" sqref="I25"/>
      <selection pane="topRight" activeCell="I25" sqref="I25"/>
      <selection pane="bottomLeft" activeCell="I25" sqref="I25"/>
      <selection pane="bottomRight" sqref="A1:C1"/>
    </sheetView>
  </sheetViews>
  <sheetFormatPr defaultColWidth="9.109375" defaultRowHeight="14.4" outlineLevelCol="1"/>
  <cols>
    <col min="1" max="6" width="3.44140625" customWidth="1"/>
    <col min="7" max="7" width="60.6640625" customWidth="1"/>
    <col min="8" max="20" width="12.33203125" hidden="1" customWidth="1" outlineLevel="1"/>
    <col min="21" max="21" width="12.33203125" hidden="1" customWidth="1" outlineLevel="1" collapsed="1"/>
    <col min="22" max="23" width="12.33203125" hidden="1" customWidth="1" outlineLevel="1"/>
    <col min="24" max="24" width="12.88671875" hidden="1" customWidth="1" outlineLevel="1"/>
    <col min="25" max="25" width="12.88671875" hidden="1" customWidth="1" outlineLevel="1" collapsed="1"/>
    <col min="26" max="26" width="12.88671875" hidden="1" customWidth="1" outlineLevel="1"/>
    <col min="27" max="27" width="14.44140625" hidden="1" customWidth="1" outlineLevel="1"/>
    <col min="28" max="28" width="12.33203125" hidden="1" customWidth="1" outlineLevel="1" collapsed="1"/>
    <col min="29" max="31" width="12.33203125" hidden="1" customWidth="1" outlineLevel="1"/>
    <col min="32" max="32" width="13.44140625" hidden="1" customWidth="1" outlineLevel="1"/>
    <col min="33" max="34" width="12.33203125" hidden="1" customWidth="1" outlineLevel="1"/>
    <col min="35" max="35" width="13.109375" hidden="1" customWidth="1" outlineLevel="1"/>
    <col min="36" max="51" width="12.33203125" hidden="1" customWidth="1" outlineLevel="1"/>
    <col min="52" max="52" width="12.33203125" hidden="1" customWidth="1" outlineLevel="1" collapsed="1"/>
    <col min="53" max="56" width="12.33203125" hidden="1" customWidth="1" outlineLevel="1"/>
    <col min="57" max="57" width="12.33203125" style="493" hidden="1" customWidth="1" collapsed="1"/>
    <col min="58" max="60" width="12.33203125" style="493" hidden="1" customWidth="1"/>
    <col min="61" max="72" width="12.33203125" style="493" customWidth="1"/>
    <col min="73" max="73" width="11.88671875" style="493" bestFit="1" customWidth="1"/>
    <col min="74" max="74" width="14.33203125" style="493" customWidth="1"/>
    <col min="75" max="75" width="15.5546875" style="525" customWidth="1"/>
    <col min="76" max="76" width="9.109375" style="525"/>
    <col min="77" max="77" width="15.88671875" style="525" customWidth="1"/>
    <col min="78" max="79" width="9.109375" style="525"/>
    <col min="80" max="80" width="12.33203125" customWidth="1"/>
    <col min="81" max="81" width="15.109375" customWidth="1"/>
    <col min="82" max="82" width="5.88671875" customWidth="1"/>
    <col min="83" max="84" width="12.33203125" customWidth="1"/>
    <col min="85" max="85" width="2.88671875" customWidth="1"/>
  </cols>
  <sheetData>
    <row r="1" spans="1:84" ht="30" customHeight="1">
      <c r="A1" s="1190" t="str">
        <f>+_xlfn.CONCAT(LEFT(D1,2),CHAR(10),RIGHT(D1,4)-1)</f>
        <v>Q2
2025</v>
      </c>
      <c r="B1" s="1191"/>
      <c r="C1" s="1192"/>
      <c r="D1" s="1187" t="str">
        <f>+BR2</f>
        <v>Q2
2026</v>
      </c>
      <c r="E1" s="1188"/>
      <c r="F1" s="1189"/>
      <c r="AS1" s="19"/>
      <c r="AT1" s="19"/>
      <c r="AU1" s="19"/>
      <c r="AV1" s="19"/>
      <c r="AW1" s="19"/>
      <c r="AX1" s="19"/>
      <c r="AY1" s="19"/>
      <c r="AZ1" s="19"/>
      <c r="BA1" s="19"/>
      <c r="BB1" s="19"/>
      <c r="BC1" s="19"/>
      <c r="BD1" s="19"/>
      <c r="BE1" s="524"/>
      <c r="BF1" s="524"/>
      <c r="BG1" s="524"/>
      <c r="BH1" s="524"/>
      <c r="BI1" s="524"/>
      <c r="BJ1" s="524"/>
      <c r="BK1" s="1042"/>
      <c r="BL1" s="524"/>
      <c r="BM1" s="524"/>
      <c r="BN1" s="524"/>
      <c r="BO1" s="1042"/>
      <c r="BP1" s="524"/>
      <c r="BQ1" s="524"/>
      <c r="BR1" s="524"/>
      <c r="BS1" s="524"/>
      <c r="BT1" s="524"/>
    </row>
    <row r="2" spans="1:84" ht="28.8">
      <c r="A2" s="86" t="s">
        <v>436</v>
      </c>
      <c r="H2" s="87" t="s">
        <v>437</v>
      </c>
      <c r="I2" s="87" t="s">
        <v>438</v>
      </c>
      <c r="J2" s="87" t="s">
        <v>439</v>
      </c>
      <c r="K2" s="87" t="s">
        <v>440</v>
      </c>
      <c r="L2" s="87" t="s">
        <v>441</v>
      </c>
      <c r="M2" s="87" t="s">
        <v>442</v>
      </c>
      <c r="N2" s="87" t="s">
        <v>443</v>
      </c>
      <c r="O2" s="87" t="s">
        <v>444</v>
      </c>
      <c r="P2" s="87" t="s">
        <v>445</v>
      </c>
      <c r="Q2" s="87" t="s">
        <v>446</v>
      </c>
      <c r="R2" s="87" t="s">
        <v>447</v>
      </c>
      <c r="S2" s="87" t="s">
        <v>448</v>
      </c>
      <c r="T2" s="87" t="s">
        <v>449</v>
      </c>
      <c r="U2" s="87" t="s">
        <v>450</v>
      </c>
      <c r="V2" s="87" t="s">
        <v>451</v>
      </c>
      <c r="W2" s="87" t="s">
        <v>452</v>
      </c>
      <c r="X2" s="87" t="s">
        <v>453</v>
      </c>
      <c r="Y2" s="87" t="s">
        <v>454</v>
      </c>
      <c r="Z2" s="87" t="str">
        <f>+_xlfn.CONCAT("Q",CHOOSE(RIGHT(LEFT(Y2,2),1),2,3,4,1),CHAR(10),IF(LEFT(Y2,2)="Q4",RIGHT(Y2,4)+1,RIGHT(Y2,4)))</f>
        <v>Q2
2015</v>
      </c>
      <c r="AA2" s="87" t="str">
        <f t="shared" ref="AA2:BD2" si="0">+_xlfn.CONCAT("Q",CHOOSE(RIGHT(LEFT(Z2,2),1),2,3,4,1),CHAR(10),IF(LEFT(Z2,2)="Q4",RIGHT(Z2,4)+1,RIGHT(Z2,4)))</f>
        <v>Q3
2015</v>
      </c>
      <c r="AB2" s="87" t="str">
        <f t="shared" si="0"/>
        <v>Q4
2015</v>
      </c>
      <c r="AC2" s="87" t="str">
        <f t="shared" si="0"/>
        <v>Q1
2016</v>
      </c>
      <c r="AD2" s="87" t="str">
        <f t="shared" si="0"/>
        <v>Q2
2016</v>
      </c>
      <c r="AE2" s="87" t="str">
        <f t="shared" si="0"/>
        <v>Q3
2016</v>
      </c>
      <c r="AF2" s="87" t="str">
        <f t="shared" si="0"/>
        <v>Q4
2016</v>
      </c>
      <c r="AG2" s="87" t="str">
        <f t="shared" si="0"/>
        <v>Q1
2017</v>
      </c>
      <c r="AH2" s="87" t="str">
        <f t="shared" si="0"/>
        <v>Q2
2017</v>
      </c>
      <c r="AI2" s="87" t="str">
        <f t="shared" si="0"/>
        <v>Q3
2017</v>
      </c>
      <c r="AJ2" s="87" t="str">
        <f t="shared" si="0"/>
        <v>Q4
2017</v>
      </c>
      <c r="AK2" s="87" t="str">
        <f t="shared" si="0"/>
        <v>Q1
2018</v>
      </c>
      <c r="AL2" s="87" t="str">
        <f t="shared" si="0"/>
        <v>Q2
2018</v>
      </c>
      <c r="AM2" s="87" t="str">
        <f t="shared" si="0"/>
        <v>Q3
2018</v>
      </c>
      <c r="AN2" s="87" t="str">
        <f t="shared" si="0"/>
        <v>Q4
2018</v>
      </c>
      <c r="AO2" s="87" t="str">
        <f t="shared" si="0"/>
        <v>Q1
2019</v>
      </c>
      <c r="AP2" s="87" t="str">
        <f t="shared" si="0"/>
        <v>Q2
2019</v>
      </c>
      <c r="AQ2" s="87" t="str">
        <f t="shared" si="0"/>
        <v>Q3
2019</v>
      </c>
      <c r="AR2" s="87" t="str">
        <f t="shared" si="0"/>
        <v>Q4
2019</v>
      </c>
      <c r="AS2" s="87" t="str">
        <f t="shared" si="0"/>
        <v>Q1
2020</v>
      </c>
      <c r="AT2" s="87" t="str">
        <f t="shared" si="0"/>
        <v>Q2
2020</v>
      </c>
      <c r="AU2" s="87" t="str">
        <f t="shared" si="0"/>
        <v>Q3
2020</v>
      </c>
      <c r="AV2" s="87" t="str">
        <f t="shared" si="0"/>
        <v>Q4
2020</v>
      </c>
      <c r="AW2" s="87" t="str">
        <f t="shared" si="0"/>
        <v>Q1
2021</v>
      </c>
      <c r="AX2" s="87" t="str">
        <f t="shared" si="0"/>
        <v>Q2
2021</v>
      </c>
      <c r="AY2" s="87" t="str">
        <f t="shared" si="0"/>
        <v>Q3
2021</v>
      </c>
      <c r="AZ2" s="87" t="str">
        <f t="shared" si="0"/>
        <v>Q4
2021</v>
      </c>
      <c r="BA2" s="87" t="str">
        <f t="shared" si="0"/>
        <v>Q1
2022</v>
      </c>
      <c r="BB2" s="87" t="str">
        <f t="shared" si="0"/>
        <v>Q2
2022</v>
      </c>
      <c r="BC2" s="87" t="str">
        <f t="shared" si="0"/>
        <v>Q3
2022</v>
      </c>
      <c r="BD2" s="87" t="str">
        <f t="shared" si="0"/>
        <v>Q4
2022</v>
      </c>
      <c r="BE2" s="526" t="str">
        <f t="shared" ref="BE2" si="1">+_xlfn.CONCAT("Q",CHOOSE(RIGHT(LEFT(BD2,2),1),2,3,4,1),CHAR(10),IF(LEFT(BD2,2)="Q4",RIGHT(BD2,4)+1,RIGHT(BD2,4)))</f>
        <v>Q1
2023</v>
      </c>
      <c r="BF2" s="526" t="str">
        <f t="shared" ref="BF2" si="2">+_xlfn.CONCAT("Q",CHOOSE(RIGHT(LEFT(BE2,2),1),2,3,4,1),CHAR(10),IF(LEFT(BE2,2)="Q4",RIGHT(BE2,4)+1,RIGHT(BE2,4)))</f>
        <v>Q2
2023</v>
      </c>
      <c r="BG2" s="526" t="str">
        <f t="shared" ref="BG2" si="3">+_xlfn.CONCAT("Q",CHOOSE(RIGHT(LEFT(BF2,2),1),2,3,4,1),CHAR(10),IF(LEFT(BF2,2)="Q4",RIGHT(BF2,4)+1,RIGHT(BF2,4)))</f>
        <v>Q3
2023</v>
      </c>
      <c r="BH2" s="526" t="str">
        <f t="shared" ref="BH2" si="4">+_xlfn.CONCAT("Q",CHOOSE(RIGHT(LEFT(BG2,2),1),2,3,4,1),CHAR(10),IF(LEFT(BG2,2)="Q4",RIGHT(BG2,4)+1,RIGHT(BG2,4)))</f>
        <v>Q4
2023</v>
      </c>
      <c r="BI2" s="526" t="str">
        <f t="shared" ref="BI2" si="5">+_xlfn.CONCAT("Q",CHOOSE(RIGHT(LEFT(BH2,2),1),2,3,4,1),CHAR(10),IF(LEFT(BH2,2)="Q4",RIGHT(BH2,4)+1,RIGHT(BH2,4)))</f>
        <v>Q1
2024</v>
      </c>
      <c r="BJ2" s="526" t="str">
        <f t="shared" ref="BJ2" si="6">+_xlfn.CONCAT("Q",CHOOSE(RIGHT(LEFT(BI2,2),1),2,3,4,1),CHAR(10),IF(LEFT(BI2,2)="Q4",RIGHT(BI2,4)+1,RIGHT(BI2,4)))</f>
        <v>Q2
2024</v>
      </c>
      <c r="BK2" s="526" t="str">
        <f t="shared" ref="BK2" si="7">+_xlfn.CONCAT("Q",CHOOSE(RIGHT(LEFT(BJ2,2),1),2,3,4,1),CHAR(10),IF(LEFT(BJ2,2)="Q4",RIGHT(BJ2,4)+1,RIGHT(BJ2,4)))</f>
        <v>Q3
2024</v>
      </c>
      <c r="BL2" s="526" t="str">
        <f t="shared" ref="BL2" si="8">+_xlfn.CONCAT("Q",CHOOSE(RIGHT(LEFT(BK2,2),1),2,3,4,1),CHAR(10),IF(LEFT(BK2,2)="Q4",RIGHT(BK2,4)+1,RIGHT(BK2,4)))</f>
        <v>Q4
2024</v>
      </c>
      <c r="BM2" s="526" t="str">
        <f t="shared" ref="BM2" si="9">+_xlfn.CONCAT("Q",CHOOSE(RIGHT(LEFT(BL2,2),1),2,3,4,1),CHAR(10),IF(LEFT(BL2,2)="Q4",RIGHT(BL2,4)+1,RIGHT(BL2,4)))</f>
        <v>Q1
2025</v>
      </c>
      <c r="BN2" s="526" t="str">
        <f t="shared" ref="BN2" si="10">+_xlfn.CONCAT("Q",CHOOSE(RIGHT(LEFT(BM2,2),1),2,3,4,1),CHAR(10),IF(LEFT(BM2,2)="Q4",RIGHT(BM2,4)+1,RIGHT(BM2,4)))</f>
        <v>Q2
2025</v>
      </c>
      <c r="BO2" s="526" t="str">
        <f t="shared" ref="BO2" si="11">+_xlfn.CONCAT("Q",CHOOSE(RIGHT(LEFT(BN2,2),1),2,3,4,1),CHAR(10),IF(LEFT(BN2,2)="Q4",RIGHT(BN2,4)+1,RIGHT(BN2,4)))</f>
        <v>Q3
2025</v>
      </c>
      <c r="BP2" s="526" t="str">
        <f t="shared" ref="BP2:BT2" si="12">+_xlfn.CONCAT("Q",CHOOSE(RIGHT(LEFT(BO2,2),1),2,3,4,1),CHAR(10),IF(LEFT(BO2,2)="Q4",RIGHT(BO2,4)+1,RIGHT(BO2,4)))</f>
        <v>Q4
2025</v>
      </c>
      <c r="BQ2" s="526" t="str">
        <f t="shared" si="12"/>
        <v>Q1
2026</v>
      </c>
      <c r="BR2" s="526" t="str">
        <f t="shared" si="12"/>
        <v>Q2
2026</v>
      </c>
      <c r="BS2" s="526" t="str">
        <f t="shared" si="12"/>
        <v>Q3
2026</v>
      </c>
      <c r="BT2" s="526" t="str">
        <f t="shared" si="12"/>
        <v>Q4
2026</v>
      </c>
    </row>
    <row r="3" spans="1:84" s="78" customFormat="1">
      <c r="A3" s="116" t="s">
        <v>455</v>
      </c>
      <c r="BE3" s="527"/>
      <c r="BF3" s="527"/>
      <c r="BG3" s="527"/>
      <c r="BH3" s="527"/>
      <c r="BI3" s="527"/>
      <c r="BJ3" s="527"/>
      <c r="BK3" s="527"/>
      <c r="BL3" s="527"/>
      <c r="BM3" s="527"/>
      <c r="BN3" s="527"/>
      <c r="BO3" s="527"/>
      <c r="BP3" s="527"/>
      <c r="BQ3" s="527"/>
      <c r="BR3" s="527"/>
      <c r="BS3" s="527"/>
      <c r="BT3" s="527"/>
      <c r="BU3" s="527"/>
      <c r="BV3" s="527"/>
      <c r="BW3" s="1119"/>
      <c r="BX3" s="1119"/>
      <c r="BY3" s="1120" t="s">
        <v>456</v>
      </c>
      <c r="BZ3" s="528"/>
      <c r="CA3" s="528"/>
      <c r="CB3" s="117"/>
    </row>
    <row r="4" spans="1:84">
      <c r="B4" t="s">
        <v>457</v>
      </c>
      <c r="H4" s="118">
        <v>0</v>
      </c>
      <c r="I4" s="118">
        <v>0</v>
      </c>
      <c r="J4" s="118">
        <v>-4109.567</v>
      </c>
      <c r="K4" s="118">
        <v>0</v>
      </c>
      <c r="L4" s="118">
        <v>-200000</v>
      </c>
      <c r="M4" s="118">
        <v>-1635</v>
      </c>
      <c r="N4" s="118">
        <v>-159244</v>
      </c>
      <c r="O4" s="118">
        <v>-9124</v>
      </c>
      <c r="P4" s="118">
        <v>-98208</v>
      </c>
      <c r="Q4" s="118">
        <v>-3077</v>
      </c>
      <c r="R4" s="118">
        <f>-68399-97996</f>
        <v>-166395</v>
      </c>
      <c r="S4" s="118">
        <v>0</v>
      </c>
      <c r="T4" s="118">
        <v>0</v>
      </c>
      <c r="U4" s="118">
        <f>-13065.237-6121.67</f>
        <v>-19186.906999999999</v>
      </c>
      <c r="V4" s="118">
        <f>-21945.558-26.474</f>
        <v>-21972.031999999999</v>
      </c>
      <c r="W4" s="118">
        <v>-30694.036</v>
      </c>
      <c r="X4" s="118">
        <v>-82446.789000000004</v>
      </c>
      <c r="Y4" s="118">
        <f>(-38748.556-6040.541)</f>
        <v>-44789.096999999994</v>
      </c>
      <c r="Z4" s="118">
        <f>-70962.991-35.758</f>
        <v>-70998.748999999996</v>
      </c>
      <c r="AA4" s="118">
        <f>-71408.992-24.326</f>
        <v>-71433.317999999999</v>
      </c>
      <c r="AB4" s="118">
        <f>-18963.87-1574.457</f>
        <v>-20538.326999999997</v>
      </c>
      <c r="AC4" s="118">
        <f>-49944.744-3042.767</f>
        <v>-52987.510999999999</v>
      </c>
      <c r="AD4" s="118">
        <f>-40612.8479999999-717.273</f>
        <v>-41330.120999999905</v>
      </c>
      <c r="AE4" s="118">
        <v>-41012.012999999999</v>
      </c>
      <c r="AF4" s="118">
        <f>-18486.943-210.041</f>
        <v>-18696.984</v>
      </c>
      <c r="AG4" s="118">
        <f>-29857.65-6495.486</f>
        <v>-36353.135999999999</v>
      </c>
      <c r="AH4" s="118">
        <f>-45183.901+-1.357</f>
        <v>-45185.258000000002</v>
      </c>
      <c r="AI4" s="118">
        <f>-57709.46-206.27</f>
        <v>-57915.729999999996</v>
      </c>
      <c r="AJ4" s="118">
        <f>-7202.573-30.989-10083.964</f>
        <v>-17317.525999999998</v>
      </c>
      <c r="AK4" s="118">
        <f>-46305.986-5234.505-22.495</f>
        <v>-51562.985999999997</v>
      </c>
      <c r="AL4" s="118">
        <f>9-87457.053</f>
        <v>-87448.053</v>
      </c>
      <c r="AM4" s="118">
        <f>13.495-33628.998-892.603</f>
        <v>-34508.106</v>
      </c>
      <c r="AN4" s="118">
        <f>-(42754.294+583.691)</f>
        <v>-43337.985000000001</v>
      </c>
      <c r="AO4" s="118">
        <f>-(53625.224+6662.844)</f>
        <v>-60288.067999999999</v>
      </c>
      <c r="AP4" s="118">
        <f>-(57104.561+12.614)</f>
        <v>-57117.175000000003</v>
      </c>
      <c r="AQ4" s="118">
        <f>-(70339.678+339.206)</f>
        <v>-70678.884000000005</v>
      </c>
      <c r="AR4" s="118">
        <f>-(43967.256+169.98)</f>
        <v>-44137.236000000004</v>
      </c>
      <c r="AS4" s="118">
        <f>-(90063.482+5612.773)</f>
        <v>-95676.255000000005</v>
      </c>
      <c r="AT4" s="118">
        <v>-86512.725999999995</v>
      </c>
      <c r="AU4" s="118">
        <f>-(41503.078+52.458)</f>
        <v>-41555.536</v>
      </c>
      <c r="AV4" s="118">
        <f>-(13352.126+73.727)</f>
        <v>-13425.853000000001</v>
      </c>
      <c r="AW4" s="118">
        <v>-5965.9679999999998</v>
      </c>
      <c r="AX4" s="118">
        <v>-521.20600000000002</v>
      </c>
      <c r="AY4" s="118">
        <f>-87.842</f>
        <v>-87.841999999999999</v>
      </c>
      <c r="AZ4" s="118">
        <v>-18828.839</v>
      </c>
      <c r="BA4" s="118">
        <f>-99009.573-4852.077</f>
        <v>-103861.65000000001</v>
      </c>
      <c r="BB4" s="118">
        <f>-127952.69-10.556</f>
        <v>-127963.246</v>
      </c>
      <c r="BC4" s="118">
        <f>-97391.638-123.474</f>
        <v>-97515.112000000008</v>
      </c>
      <c r="BD4" s="118">
        <f>-31951.915-146.063</f>
        <v>-32097.977999999999</v>
      </c>
      <c r="BE4" s="529">
        <f>-85258-11065</f>
        <v>-96323</v>
      </c>
      <c r="BF4" s="529">
        <f>-110758-1848</f>
        <v>-112606</v>
      </c>
      <c r="BG4" s="529">
        <f>-106479.125</f>
        <v>-106479.125</v>
      </c>
      <c r="BH4" s="529">
        <f>-72545.43-340.197</f>
        <v>-72885.626999999993</v>
      </c>
      <c r="BI4" s="529">
        <f>-109101.847-7460.857</f>
        <v>-116562.704</v>
      </c>
      <c r="BJ4" s="529">
        <f>-142712.284-31.434</f>
        <v>-142743.71800000002</v>
      </c>
      <c r="BK4" s="529">
        <f>-128830.882-841.592</f>
        <v>-129672.474</v>
      </c>
      <c r="BL4" s="529">
        <f>-44390.129-1313.001</f>
        <v>-45703.13</v>
      </c>
      <c r="BM4" s="529">
        <f>-117990.484-8646.172</f>
        <v>-126636.656</v>
      </c>
      <c r="BN4" s="529">
        <f>-129108.094-15.629</f>
        <v>-129123.723</v>
      </c>
      <c r="BO4" s="529">
        <f>-128963.936+-35.766</f>
        <v>-128999.702</v>
      </c>
      <c r="BP4" s="529">
        <f>-73970.48707-683.278</f>
        <v>-74653.765070000009</v>
      </c>
      <c r="BQ4" s="529">
        <f>-135002.302-5972.187</f>
        <v>-140974.489</v>
      </c>
      <c r="BR4" s="529">
        <f>-135225.059-70.179</f>
        <v>-135295.23800000001</v>
      </c>
      <c r="BS4" s="529"/>
      <c r="BT4" s="529"/>
      <c r="BV4" s="530"/>
      <c r="BW4" s="1118" t="s">
        <v>458</v>
      </c>
      <c r="BX4" s="1118"/>
      <c r="BY4" s="1118" t="s">
        <v>459</v>
      </c>
      <c r="CB4" s="119"/>
      <c r="CC4" s="9"/>
    </row>
    <row r="5" spans="1:84" s="60" customFormat="1">
      <c r="BE5" s="531"/>
      <c r="BF5" s="531"/>
      <c r="BG5" s="531"/>
      <c r="BH5" s="531"/>
      <c r="BI5" s="531"/>
      <c r="BJ5" s="531"/>
      <c r="BK5" s="531"/>
      <c r="BL5" s="531"/>
      <c r="BM5" s="531"/>
      <c r="BN5" s="531"/>
      <c r="BO5" s="531"/>
      <c r="BP5" s="531"/>
      <c r="BQ5" s="531"/>
      <c r="BR5" s="531"/>
      <c r="BS5" s="531"/>
      <c r="BT5" s="531"/>
      <c r="BU5" s="531"/>
      <c r="BV5" s="531"/>
      <c r="BW5" s="532"/>
      <c r="BX5" s="532"/>
      <c r="BY5" s="532"/>
      <c r="BZ5" s="532"/>
      <c r="CA5" s="532"/>
      <c r="CB5" s="10"/>
      <c r="CC5" s="10"/>
    </row>
    <row r="6" spans="1:84">
      <c r="A6" s="116" t="s">
        <v>460</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CB6" s="9"/>
      <c r="CC6" s="9"/>
    </row>
    <row r="7" spans="1:84">
      <c r="A7" s="94"/>
      <c r="B7" s="115" t="s">
        <v>461</v>
      </c>
      <c r="H7" s="118">
        <v>72843213</v>
      </c>
      <c r="I7" s="118">
        <v>73187837</v>
      </c>
      <c r="J7" s="118">
        <v>73603111</v>
      </c>
      <c r="K7" s="118">
        <v>73740120</v>
      </c>
      <c r="L7" s="118">
        <v>64882643</v>
      </c>
      <c r="M7" s="118">
        <v>65303547</v>
      </c>
      <c r="N7" s="118">
        <v>59868486</v>
      </c>
      <c r="O7" s="118">
        <v>59722559</v>
      </c>
      <c r="P7" s="118">
        <v>56373795</v>
      </c>
      <c r="Q7" s="118">
        <v>56682195</v>
      </c>
      <c r="R7" s="118">
        <v>54503822</v>
      </c>
      <c r="S7" s="118">
        <v>54686613</v>
      </c>
      <c r="T7" s="118">
        <v>54833510</v>
      </c>
      <c r="U7" s="118">
        <v>54569108</v>
      </c>
      <c r="V7" s="118">
        <v>54193684</v>
      </c>
      <c r="W7" s="118">
        <v>53681705</v>
      </c>
      <c r="X7" s="118">
        <v>52168653</v>
      </c>
      <c r="Y7" s="118">
        <v>51554770</v>
      </c>
      <c r="Z7" s="118">
        <v>50110938</v>
      </c>
      <c r="AA7" s="118">
        <v>48571139</v>
      </c>
      <c r="AB7" s="118">
        <v>48296623</v>
      </c>
      <c r="AC7" s="118">
        <v>47295175</v>
      </c>
      <c r="AD7" s="118">
        <v>46601587</v>
      </c>
      <c r="AE7" s="118">
        <v>45961671</v>
      </c>
      <c r="AF7" s="118">
        <v>45720822</v>
      </c>
      <c r="AG7" s="118">
        <v>45549739</v>
      </c>
      <c r="AH7" s="118">
        <v>45034788</v>
      </c>
      <c r="AI7" s="118">
        <v>44380349</v>
      </c>
      <c r="AJ7" s="118">
        <v>44251256</v>
      </c>
      <c r="AK7" s="118">
        <v>43953046</v>
      </c>
      <c r="AL7" s="118">
        <v>43168005</v>
      </c>
      <c r="AM7" s="118">
        <v>42976742</v>
      </c>
      <c r="AN7" s="118">
        <v>42694258</v>
      </c>
      <c r="AO7" s="118">
        <v>42398643</v>
      </c>
      <c r="AP7" s="118">
        <v>42008450</v>
      </c>
      <c r="AQ7" s="118">
        <v>41491998</v>
      </c>
      <c r="AR7" s="118">
        <v>41206504</v>
      </c>
      <c r="AS7" s="118">
        <v>40459767</v>
      </c>
      <c r="AT7" s="118">
        <v>39667002</v>
      </c>
      <c r="AU7" s="118">
        <v>39374259</v>
      </c>
      <c r="AV7" s="118">
        <v>39305902</v>
      </c>
      <c r="AW7" s="118">
        <v>39414085</v>
      </c>
      <c r="AX7" s="118">
        <v>39443561</v>
      </c>
      <c r="AY7" s="118">
        <v>39470748</v>
      </c>
      <c r="AZ7" s="118">
        <v>39367754</v>
      </c>
      <c r="BA7" s="118">
        <v>38751885</v>
      </c>
      <c r="BB7" s="118">
        <v>37768052</v>
      </c>
      <c r="BC7" s="118">
        <v>37026600</v>
      </c>
      <c r="BD7" s="118">
        <v>36824428</v>
      </c>
      <c r="BE7" s="529">
        <v>36407876</v>
      </c>
      <c r="BF7" s="529">
        <v>35845525</v>
      </c>
      <c r="BG7" s="529">
        <v>35342474</v>
      </c>
      <c r="BH7" s="529">
        <v>34995613</v>
      </c>
      <c r="BI7" s="529">
        <v>34609005</v>
      </c>
      <c r="BJ7" s="529">
        <v>33993897</v>
      </c>
      <c r="BK7" s="529">
        <v>33508129</v>
      </c>
      <c r="BL7" s="529">
        <v>33367737</v>
      </c>
      <c r="BM7" s="529">
        <v>33022554</v>
      </c>
      <c r="BN7" s="529">
        <v>32545209</v>
      </c>
      <c r="BO7" s="529">
        <v>32075564</v>
      </c>
      <c r="BP7" s="529">
        <v>31809803</v>
      </c>
      <c r="BQ7" s="529">
        <v>31343338</v>
      </c>
      <c r="BR7" s="529">
        <v>30898185</v>
      </c>
      <c r="BS7" s="529"/>
      <c r="BT7" s="529"/>
      <c r="BU7" s="1045"/>
      <c r="BW7" s="1118" t="s">
        <v>826</v>
      </c>
      <c r="BX7" s="1118"/>
      <c r="BY7" s="1118" t="s">
        <v>462</v>
      </c>
      <c r="CA7" s="1118" t="s">
        <v>456</v>
      </c>
      <c r="CB7" s="9"/>
      <c r="CC7" s="9"/>
    </row>
    <row r="8" spans="1:84">
      <c r="A8" s="94"/>
      <c r="B8" s="92" t="s">
        <v>504</v>
      </c>
      <c r="H8" s="118"/>
      <c r="I8" s="118"/>
      <c r="J8" s="118"/>
      <c r="K8" s="118"/>
      <c r="L8" s="118"/>
      <c r="M8" s="118"/>
      <c r="N8" s="118"/>
      <c r="O8" s="118"/>
      <c r="P8" s="118"/>
      <c r="Q8" s="118"/>
      <c r="R8" s="118"/>
      <c r="S8" s="118"/>
      <c r="T8" s="118"/>
      <c r="U8" s="118"/>
      <c r="V8" s="118"/>
      <c r="W8" s="118"/>
      <c r="X8" s="118"/>
      <c r="Y8" s="118">
        <v>52642881</v>
      </c>
      <c r="Z8" s="118">
        <v>51786679</v>
      </c>
      <c r="AA8" s="118">
        <v>50081730</v>
      </c>
      <c r="AB8" s="118">
        <v>49061165</v>
      </c>
      <c r="AC8" s="118">
        <v>48549580</v>
      </c>
      <c r="AD8" s="118">
        <v>47657649</v>
      </c>
      <c r="AE8" s="118">
        <v>47008203</v>
      </c>
      <c r="AF8" s="118">
        <v>46444202</v>
      </c>
      <c r="AG8" s="118">
        <v>46301339</v>
      </c>
      <c r="AH8" s="118">
        <v>45983783</v>
      </c>
      <c r="AI8" s="118">
        <v>45317641</v>
      </c>
      <c r="AJ8" s="118">
        <v>44809433</v>
      </c>
      <c r="AK8" s="118">
        <v>44739864</v>
      </c>
      <c r="AL8" s="118">
        <v>44065972</v>
      </c>
      <c r="AM8" s="118">
        <v>43452234</v>
      </c>
      <c r="AN8" s="118">
        <v>43179898</v>
      </c>
      <c r="AO8" s="118">
        <v>42824471</v>
      </c>
      <c r="AP8" s="118">
        <v>42482631</v>
      </c>
      <c r="AQ8" s="118">
        <v>41963672</v>
      </c>
      <c r="AR8" s="118">
        <v>41470805</v>
      </c>
      <c r="AS8" s="118">
        <v>41131200</v>
      </c>
      <c r="AT8" s="118">
        <v>40131877</v>
      </c>
      <c r="AU8" s="118">
        <v>39587978</v>
      </c>
      <c r="AV8" s="118">
        <v>39420628</v>
      </c>
      <c r="AW8" s="118">
        <v>39455948</v>
      </c>
      <c r="AX8" s="118">
        <v>39530691</v>
      </c>
      <c r="AY8" s="118">
        <v>39560786</v>
      </c>
      <c r="AZ8" s="118">
        <v>39568470</v>
      </c>
      <c r="BA8" s="118">
        <v>39221003</v>
      </c>
      <c r="BB8" s="118">
        <v>38385520</v>
      </c>
      <c r="BC8" s="118">
        <v>37438254</v>
      </c>
      <c r="BD8" s="118">
        <v>36973967</v>
      </c>
      <c r="BE8" s="529">
        <v>36709525</v>
      </c>
      <c r="BF8" s="529">
        <v>36215232</v>
      </c>
      <c r="BG8" s="529">
        <v>35760090</v>
      </c>
      <c r="BH8" s="529">
        <v>35148919</v>
      </c>
      <c r="BI8" s="529">
        <v>34882824</v>
      </c>
      <c r="BJ8" s="529">
        <v>34383344</v>
      </c>
      <c r="BK8" s="529">
        <v>33834080</v>
      </c>
      <c r="BL8" s="529">
        <v>33481533</v>
      </c>
      <c r="BM8" s="529">
        <v>33292459</v>
      </c>
      <c r="BN8" s="529">
        <v>32870061</v>
      </c>
      <c r="BO8" s="529">
        <v>32404112</v>
      </c>
      <c r="BP8" s="529">
        <v>31978688</v>
      </c>
      <c r="BQ8" s="529">
        <v>31680718</v>
      </c>
      <c r="BR8" s="529">
        <v>31195872</v>
      </c>
      <c r="BS8" s="529"/>
      <c r="BT8" s="529"/>
      <c r="BU8" s="1045"/>
      <c r="BW8" s="1118" t="s">
        <v>826</v>
      </c>
      <c r="BX8" s="1118"/>
      <c r="BY8" s="1118" t="s">
        <v>716</v>
      </c>
      <c r="CA8" s="1118" t="s">
        <v>456</v>
      </c>
      <c r="CB8" s="9"/>
      <c r="CC8" s="9"/>
      <c r="CE8" s="11"/>
      <c r="CF8" s="11"/>
    </row>
    <row r="9" spans="1:84">
      <c r="A9" s="94"/>
      <c r="B9" s="92" t="s">
        <v>509</v>
      </c>
      <c r="H9" s="118"/>
      <c r="I9" s="118"/>
      <c r="J9" s="118"/>
      <c r="K9" s="118"/>
      <c r="L9" s="118"/>
      <c r="M9" s="118"/>
      <c r="N9" s="118"/>
      <c r="O9" s="118"/>
      <c r="P9" s="118"/>
      <c r="Q9" s="118"/>
      <c r="R9" s="118"/>
      <c r="S9" s="118"/>
      <c r="T9" s="118"/>
      <c r="U9" s="118"/>
      <c r="V9" s="118"/>
      <c r="W9" s="118"/>
      <c r="X9" s="118"/>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v>39529786</v>
      </c>
      <c r="BA9" s="139">
        <v>39221003</v>
      </c>
      <c r="BB9" s="139">
        <v>38800954</v>
      </c>
      <c r="BC9" s="139">
        <v>38341729</v>
      </c>
      <c r="BD9" s="139">
        <v>37996978</v>
      </c>
      <c r="BE9" s="533">
        <v>36709525</v>
      </c>
      <c r="BF9" s="533">
        <v>36461013</v>
      </c>
      <c r="BG9" s="533">
        <v>36224804</v>
      </c>
      <c r="BH9" s="533">
        <v>35953622</v>
      </c>
      <c r="BI9" s="533">
        <f>+BI8</f>
        <v>34882824</v>
      </c>
      <c r="BJ9" s="533">
        <v>34633084</v>
      </c>
      <c r="BK9" s="533">
        <v>34364805</v>
      </c>
      <c r="BL9" s="533">
        <f>34142480.336388+0.02</f>
        <v>34142480.356388003</v>
      </c>
      <c r="BM9" s="533">
        <f>BM8</f>
        <v>33292459</v>
      </c>
      <c r="BN9" s="533">
        <v>33080093</v>
      </c>
      <c r="BO9" s="533">
        <v>32852290</v>
      </c>
      <c r="BP9" s="533">
        <v>32632095</v>
      </c>
      <c r="BQ9" s="533">
        <v>31680718</v>
      </c>
      <c r="BR9" s="533">
        <v>31436955</v>
      </c>
      <c r="BS9" s="533"/>
      <c r="BT9" s="533"/>
      <c r="BU9" s="1045"/>
      <c r="BW9" s="1118" t="s">
        <v>826</v>
      </c>
      <c r="BX9" s="1118"/>
      <c r="BY9" s="1118" t="s">
        <v>717</v>
      </c>
      <c r="CA9" s="1118" t="s">
        <v>456</v>
      </c>
      <c r="CB9" s="9"/>
      <c r="CC9" s="9"/>
      <c r="CE9" s="11"/>
      <c r="CF9" s="11"/>
    </row>
    <row r="10" spans="1:84">
      <c r="A10" s="94"/>
      <c r="B10" s="92" t="s">
        <v>877</v>
      </c>
      <c r="C10" s="119"/>
      <c r="H10" s="118"/>
      <c r="I10" s="118"/>
      <c r="J10" s="118"/>
      <c r="K10" s="118"/>
      <c r="L10" s="118"/>
      <c r="M10" s="118"/>
      <c r="N10" s="118"/>
      <c r="O10" s="118"/>
      <c r="P10" s="118"/>
      <c r="Q10" s="118"/>
      <c r="R10" s="118"/>
      <c r="S10" s="118"/>
      <c r="T10" s="118"/>
      <c r="U10" s="118"/>
      <c r="V10" s="118"/>
      <c r="W10" s="118"/>
      <c r="X10" s="118"/>
      <c r="Y10" s="118">
        <v>-444.375</v>
      </c>
      <c r="Z10" s="118">
        <v>-366.36399999999998</v>
      </c>
      <c r="AA10" s="118">
        <v>-379.39100000000002</v>
      </c>
      <c r="AB10" s="118">
        <v>-374.14</v>
      </c>
      <c r="AC10" s="118">
        <v>-370.35599999999999</v>
      </c>
      <c r="AD10" s="118">
        <v>-490.82</v>
      </c>
      <c r="AE10" s="118">
        <v>-493.791</v>
      </c>
      <c r="AF10" s="118">
        <v>-481.875</v>
      </c>
      <c r="AG10" s="118">
        <v>-421.42</v>
      </c>
      <c r="AH10" s="118">
        <v>-430.21199999999999</v>
      </c>
      <c r="AI10" s="118">
        <v>-464.86900000000003</v>
      </c>
      <c r="AJ10" s="118">
        <v>-1171.3330000000001</v>
      </c>
      <c r="AK10" s="118">
        <v>-424.81200000000001</v>
      </c>
      <c r="AL10" s="118">
        <v>-482.803</v>
      </c>
      <c r="AM10" s="118">
        <v>-485.358</v>
      </c>
      <c r="AN10" s="118">
        <v>-487.26100000000002</v>
      </c>
      <c r="AO10" s="118">
        <v>-400.92599999999999</v>
      </c>
      <c r="AP10" s="118">
        <v>-427.78399999999999</v>
      </c>
      <c r="AQ10" s="118">
        <v>-414.61799999999999</v>
      </c>
      <c r="AR10" s="118">
        <v>-402.04899999999998</v>
      </c>
      <c r="AS10" s="118">
        <v>-310.47699999999998</v>
      </c>
      <c r="AT10" s="118">
        <v>-437.10300000000001</v>
      </c>
      <c r="AU10" s="118">
        <v>-493.125</v>
      </c>
      <c r="AV10" s="118">
        <v>-432.63400000000001</v>
      </c>
      <c r="AW10" s="118">
        <v>-417.01100000000002</v>
      </c>
      <c r="AX10" s="118">
        <v>-525.26300000000003</v>
      </c>
      <c r="AY10" s="118">
        <v>-458.41500000000002</v>
      </c>
      <c r="AZ10" s="118">
        <v>-285.02199999999999</v>
      </c>
      <c r="BA10" s="118">
        <v>-488.01499999999999</v>
      </c>
      <c r="BB10" s="118">
        <v>-565.87400000000002</v>
      </c>
      <c r="BC10" s="118">
        <v>-375.07900000000001</v>
      </c>
      <c r="BD10" s="118">
        <v>-702.976</v>
      </c>
      <c r="BE10" s="118">
        <v>-588.6539057066592</v>
      </c>
      <c r="BF10" s="118">
        <v>-624.94610817753039</v>
      </c>
      <c r="BG10" s="118">
        <v>-661.94855361138457</v>
      </c>
      <c r="BH10" s="118">
        <v>-654.9527701631921</v>
      </c>
      <c r="BI10" s="118">
        <v>-607.71582192575113</v>
      </c>
      <c r="BJ10" s="118">
        <v>-95.984068681318504</v>
      </c>
      <c r="BK10" s="118">
        <v>-704.13144018431126</v>
      </c>
      <c r="BL10" s="529">
        <v>-537.05465556277841</v>
      </c>
      <c r="BM10" s="118">
        <v>-584.52368219101015</v>
      </c>
      <c r="BN10" s="118">
        <v>-572.02630095850134</v>
      </c>
      <c r="BO10" s="118">
        <v>-678.48147670319395</v>
      </c>
      <c r="BP10" s="529">
        <v>-605.60766427812496</v>
      </c>
      <c r="BQ10" s="529">
        <v>-625.7591042117474</v>
      </c>
      <c r="BR10" s="529">
        <v>-683.93343243795698</v>
      </c>
      <c r="BS10" s="529"/>
      <c r="BT10" s="529"/>
      <c r="BU10" s="1111"/>
      <c r="BW10" s="1118" t="s">
        <v>775</v>
      </c>
      <c r="BX10" s="1118"/>
      <c r="BY10" s="1118" t="s">
        <v>773</v>
      </c>
      <c r="BZ10" s="1118"/>
      <c r="CA10" s="1118" t="s">
        <v>774</v>
      </c>
      <c r="CB10" s="9"/>
      <c r="CC10" s="9"/>
      <c r="CE10" s="11"/>
      <c r="CF10" s="11"/>
    </row>
    <row r="11" spans="1:84">
      <c r="A11" s="94"/>
      <c r="B11" s="92" t="s">
        <v>878</v>
      </c>
      <c r="C11" s="119"/>
      <c r="H11" s="118"/>
      <c r="I11" s="118"/>
      <c r="J11" s="118"/>
      <c r="K11" s="118"/>
      <c r="L11" s="118"/>
      <c r="M11" s="118"/>
      <c r="N11" s="118"/>
      <c r="O11" s="118"/>
      <c r="P11" s="118"/>
      <c r="Q11" s="118"/>
      <c r="R11" s="118"/>
      <c r="S11" s="118"/>
      <c r="T11" s="118"/>
      <c r="U11" s="118"/>
      <c r="V11" s="118"/>
      <c r="W11" s="118"/>
      <c r="X11" s="118"/>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v>-1960.136</v>
      </c>
      <c r="BA11" s="139">
        <v>-488.01499999999999</v>
      </c>
      <c r="BB11" s="139">
        <v>-1052.2919999999999</v>
      </c>
      <c r="BC11" s="139">
        <v>-1439.289</v>
      </c>
      <c r="BD11" s="139">
        <v>-2130.9110000000001</v>
      </c>
      <c r="BE11" s="139">
        <f>+BE10</f>
        <v>-588.6539057066592</v>
      </c>
      <c r="BF11" s="139">
        <v>-1216.3452428312651</v>
      </c>
      <c r="BG11" s="139">
        <v>-1879.856289865698</v>
      </c>
      <c r="BH11" s="139">
        <v>-2535.3832835866501</v>
      </c>
      <c r="BI11" s="139">
        <f>+BI10</f>
        <v>-607.71582192575113</v>
      </c>
      <c r="BJ11" s="139">
        <v>-1083.9099373225083</v>
      </c>
      <c r="BK11" s="139">
        <v>-1871.4869821309844</v>
      </c>
      <c r="BL11" s="533">
        <v>-2442.9230171999729</v>
      </c>
      <c r="BM11" s="139">
        <v>-584.52368219101015</v>
      </c>
      <c r="BN11" s="139">
        <v>-1157.754675006805</v>
      </c>
      <c r="BO11" s="139">
        <v>-1837.4061702336201</v>
      </c>
      <c r="BP11" s="533">
        <v>-2445.79773331045</v>
      </c>
      <c r="BQ11" s="533">
        <v>-625.7591042117474</v>
      </c>
      <c r="BR11" s="533">
        <v>-1309.1827067116899</v>
      </c>
      <c r="BS11" s="533"/>
      <c r="BT11" s="533"/>
      <c r="BU11" s="1111"/>
      <c r="BW11" s="1118" t="s">
        <v>775</v>
      </c>
      <c r="BX11" s="1118"/>
      <c r="BY11" s="1118" t="s">
        <v>773</v>
      </c>
      <c r="BZ11" s="1118"/>
      <c r="CA11" s="1118" t="s">
        <v>774</v>
      </c>
      <c r="CB11" s="9"/>
      <c r="CC11" s="9"/>
      <c r="CE11" s="11"/>
      <c r="CF11" s="11"/>
    </row>
    <row r="12" spans="1:84">
      <c r="A12" s="94"/>
      <c r="B12" s="92" t="s">
        <v>879</v>
      </c>
      <c r="C12" s="119"/>
      <c r="H12" s="118"/>
      <c r="I12" s="118"/>
      <c r="J12" s="118"/>
      <c r="K12" s="118"/>
      <c r="L12" s="118"/>
      <c r="M12" s="118"/>
      <c r="N12" s="118"/>
      <c r="O12" s="118"/>
      <c r="P12" s="118"/>
      <c r="Q12" s="118"/>
      <c r="R12" s="118"/>
      <c r="S12" s="118"/>
      <c r="T12" s="118"/>
      <c r="U12" s="118"/>
      <c r="V12" s="118"/>
      <c r="W12" s="118"/>
      <c r="X12" s="118"/>
      <c r="Y12" s="118">
        <v>-444.05</v>
      </c>
      <c r="Z12" s="118">
        <v>-366.19</v>
      </c>
      <c r="AA12" s="118">
        <v>-379.25200000000001</v>
      </c>
      <c r="AB12" s="118">
        <v>-373.93599999999998</v>
      </c>
      <c r="AC12" s="118">
        <v>-370.20699999999999</v>
      </c>
      <c r="AD12" s="118">
        <v>-490.38200000000001</v>
      </c>
      <c r="AE12" s="118">
        <v>-493.411</v>
      </c>
      <c r="AF12" s="118">
        <v>-481.42500000000001</v>
      </c>
      <c r="AG12" s="118">
        <v>-420.87400000000002</v>
      </c>
      <c r="AH12" s="118">
        <v>-429.52100000000002</v>
      </c>
      <c r="AI12" s="118">
        <v>-464.084</v>
      </c>
      <c r="AJ12" s="118">
        <v>-1168.701</v>
      </c>
      <c r="AK12" s="118">
        <v>-423.91199999999998</v>
      </c>
      <c r="AL12" s="118">
        <v>-481.47199999999998</v>
      </c>
      <c r="AM12" s="118">
        <v>-484.04</v>
      </c>
      <c r="AN12" s="118">
        <v>-485.976</v>
      </c>
      <c r="AO12" s="118">
        <v>-400.03199999999998</v>
      </c>
      <c r="AP12" s="118">
        <v>-426.63</v>
      </c>
      <c r="AQ12" s="118">
        <v>-413.48399999999998</v>
      </c>
      <c r="AR12" s="118">
        <v>-400.88</v>
      </c>
      <c r="AS12" s="118">
        <v>-309.85599999999999</v>
      </c>
      <c r="AT12" s="118">
        <v>-436.065</v>
      </c>
      <c r="AU12" s="118">
        <v>-491.83</v>
      </c>
      <c r="AV12" s="118">
        <v>-431.41</v>
      </c>
      <c r="AW12" s="118">
        <v>-415.95299999999997</v>
      </c>
      <c r="AX12" s="118">
        <v>-523.89200000000005</v>
      </c>
      <c r="AY12" s="118">
        <v>-457.28300000000002</v>
      </c>
      <c r="AZ12" s="118">
        <v>-284.37599999999998</v>
      </c>
      <c r="BA12" s="118">
        <v>-495.94600000000003</v>
      </c>
      <c r="BB12" s="118">
        <v>-578.053</v>
      </c>
      <c r="BC12" s="118">
        <v>-667.93700000000001</v>
      </c>
      <c r="BD12" s="118">
        <v>-693.79399999999998</v>
      </c>
      <c r="BE12" s="118">
        <v>-587.43090782014735</v>
      </c>
      <c r="BF12" s="118">
        <v>-623.86902276170645</v>
      </c>
      <c r="BG12" s="118">
        <v>-660.97488063598325</v>
      </c>
      <c r="BH12" s="118">
        <v>-654.0158229388378</v>
      </c>
      <c r="BI12" s="118">
        <v>-606.94912027019507</v>
      </c>
      <c r="BJ12" s="118">
        <v>-95.984068681318504</v>
      </c>
      <c r="BK12" s="118">
        <f>-703.142998290257</f>
        <v>-703.14299829025697</v>
      </c>
      <c r="BL12" s="529">
        <v>-536.27408106972393</v>
      </c>
      <c r="BM12" s="118">
        <v>-583.83426699250936</v>
      </c>
      <c r="BN12" s="118">
        <v>-571.44763966912035</v>
      </c>
      <c r="BO12" s="118">
        <v>-677.65722574192296</v>
      </c>
      <c r="BP12" s="529">
        <v>-604.77496057476196</v>
      </c>
      <c r="BQ12" s="529">
        <v>-625.02341458201408</v>
      </c>
      <c r="BR12" s="529">
        <v>-683.21018613079195</v>
      </c>
      <c r="BS12" s="529"/>
      <c r="BT12" s="529"/>
      <c r="BU12" s="1111"/>
      <c r="BW12" s="1118" t="s">
        <v>775</v>
      </c>
      <c r="BX12" s="1118"/>
      <c r="BY12" s="1118" t="s">
        <v>773</v>
      </c>
      <c r="BZ12" s="1118"/>
      <c r="CA12" s="1118" t="s">
        <v>774</v>
      </c>
      <c r="CB12" s="9"/>
      <c r="CC12" s="9"/>
      <c r="CE12" s="11"/>
      <c r="CF12" s="11"/>
    </row>
    <row r="13" spans="1:84">
      <c r="A13" s="94"/>
      <c r="B13" s="92" t="s">
        <v>880</v>
      </c>
      <c r="C13" s="119"/>
      <c r="H13" s="118"/>
      <c r="I13" s="118"/>
      <c r="J13" s="118"/>
      <c r="K13" s="118"/>
      <c r="L13" s="118"/>
      <c r="M13" s="118"/>
      <c r="N13" s="118"/>
      <c r="O13" s="118"/>
      <c r="P13" s="118"/>
      <c r="Q13" s="118"/>
      <c r="R13" s="118"/>
      <c r="S13" s="118"/>
      <c r="T13" s="118"/>
      <c r="U13" s="118"/>
      <c r="V13" s="118"/>
      <c r="W13" s="118"/>
      <c r="X13" s="118"/>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v>-1955.08</v>
      </c>
      <c r="BA13" s="139">
        <v>-495.94600000000003</v>
      </c>
      <c r="BB13" s="139">
        <v>-1049.78</v>
      </c>
      <c r="BC13" s="139">
        <v>-1436.002</v>
      </c>
      <c r="BD13" s="139">
        <v>-2125.922</v>
      </c>
      <c r="BE13" s="139">
        <f>+BE12</f>
        <v>-587.43090782014735</v>
      </c>
      <c r="BF13" s="139">
        <v>-1214.0256991854296</v>
      </c>
      <c r="BG13" s="139">
        <v>-1876.5329325491414</v>
      </c>
      <c r="BH13" s="139">
        <v>-2531.1057683005083</v>
      </c>
      <c r="BI13" s="139">
        <f>+BI12</f>
        <v>-606.94912027019507</v>
      </c>
      <c r="BJ13" s="139">
        <v>-1082.515218418763</v>
      </c>
      <c r="BK13" s="139">
        <v>-1868.9798864235147</v>
      </c>
      <c r="BL13" s="533">
        <v>-2439.5737447168599</v>
      </c>
      <c r="BM13" s="139">
        <v>-583.83426699250936</v>
      </c>
      <c r="BN13" s="139">
        <v>-1156.4843880804776</v>
      </c>
      <c r="BO13" s="139">
        <v>-1835.3160798991901</v>
      </c>
      <c r="BP13" s="533">
        <v>-2442.8740171484901</v>
      </c>
      <c r="BQ13" s="533">
        <v>-625.02341458201408</v>
      </c>
      <c r="BR13" s="533">
        <v>-1307.7188623337699</v>
      </c>
      <c r="BS13" s="533"/>
      <c r="BT13" s="533"/>
      <c r="BU13" s="1111"/>
      <c r="BW13" s="1118" t="s">
        <v>775</v>
      </c>
      <c r="BX13" s="1118"/>
      <c r="BY13" s="1118" t="s">
        <v>773</v>
      </c>
      <c r="BZ13" s="1118"/>
      <c r="CA13" s="1118" t="s">
        <v>774</v>
      </c>
      <c r="CB13" s="9"/>
      <c r="CC13" s="9"/>
      <c r="CE13" s="11"/>
      <c r="CF13" s="11"/>
    </row>
    <row r="14" spans="1:84">
      <c r="A14" s="94"/>
      <c r="B14" s="92" t="s">
        <v>505</v>
      </c>
      <c r="C14" s="119"/>
      <c r="H14" s="118"/>
      <c r="I14" s="118"/>
      <c r="J14" s="118"/>
      <c r="K14" s="118"/>
      <c r="L14" s="118"/>
      <c r="M14" s="118"/>
      <c r="N14" s="118"/>
      <c r="O14" s="118"/>
      <c r="P14" s="118"/>
      <c r="Q14" s="118"/>
      <c r="R14" s="118"/>
      <c r="S14" s="118"/>
      <c r="T14" s="118"/>
      <c r="U14" s="118"/>
      <c r="V14" s="118"/>
      <c r="W14" s="118"/>
      <c r="X14" s="118"/>
      <c r="Y14" s="118">
        <v>-435.77199999999999</v>
      </c>
      <c r="Z14" s="118">
        <v>-363.44600000000003</v>
      </c>
      <c r="AA14" s="118">
        <v>-380.72199999999998</v>
      </c>
      <c r="AB14" s="118">
        <v>-391.78399999999999</v>
      </c>
      <c r="AC14" s="118">
        <v>-374.51</v>
      </c>
      <c r="AD14" s="118">
        <v>-472.36500000000001</v>
      </c>
      <c r="AE14" s="118">
        <v>-493.98500000000001</v>
      </c>
      <c r="AF14" s="118">
        <v>-473.72800000000001</v>
      </c>
      <c r="AG14" s="118">
        <v>-420.66800000000001</v>
      </c>
      <c r="AH14" s="118">
        <v>-429.74700000000001</v>
      </c>
      <c r="AI14" s="118">
        <v>-464.76499999999999</v>
      </c>
      <c r="AJ14" s="118">
        <v>-502.471</v>
      </c>
      <c r="AK14" s="118">
        <v>-428.053</v>
      </c>
      <c r="AL14" s="118">
        <v>-478.82499999999999</v>
      </c>
      <c r="AM14" s="118">
        <v>-481.65499999999997</v>
      </c>
      <c r="AN14" s="118">
        <v>-493.45100000000002</v>
      </c>
      <c r="AO14" s="118">
        <v>-381.36599999999999</v>
      </c>
      <c r="AP14" s="118">
        <v>-415.98899999999998</v>
      </c>
      <c r="AQ14" s="118">
        <v>-411.90300000000002</v>
      </c>
      <c r="AR14" s="118">
        <v>-398.69499999999999</v>
      </c>
      <c r="AS14" s="118">
        <v>-364.36399999999998</v>
      </c>
      <c r="AT14" s="118">
        <v>-424.05599999999998</v>
      </c>
      <c r="AU14" s="118">
        <v>-487.04199999999997</v>
      </c>
      <c r="AV14" s="118">
        <v>-420.77</v>
      </c>
      <c r="AW14" s="118">
        <v>-413.84800000000001</v>
      </c>
      <c r="AX14" s="118">
        <v>-530.15499999999997</v>
      </c>
      <c r="AY14" s="118">
        <v>-483.90199999999999</v>
      </c>
      <c r="AZ14" s="118">
        <v>-616.39700000000005</v>
      </c>
      <c r="BA14" s="118">
        <v>-486.89600000000002</v>
      </c>
      <c r="BB14" s="118">
        <v>-564.46900000000005</v>
      </c>
      <c r="BC14" s="118">
        <v>-374.322</v>
      </c>
      <c r="BD14" s="118">
        <v>-701.23500000000001</v>
      </c>
      <c r="BE14" s="118">
        <v>-608.05145617525909</v>
      </c>
      <c r="BF14" s="118">
        <v>-631.94053451670686</v>
      </c>
      <c r="BG14" s="118">
        <v>-672.80422645501415</v>
      </c>
      <c r="BH14" s="118">
        <v>-649.39046097982782</v>
      </c>
      <c r="BI14" s="118">
        <v>-612.2949370120258</v>
      </c>
      <c r="BJ14" s="118">
        <v>-633.98641592471029</v>
      </c>
      <c r="BK14" s="118">
        <v>-719.38461988892209</v>
      </c>
      <c r="BL14" s="529">
        <v>-542.38604738225251</v>
      </c>
      <c r="BM14" s="118">
        <v>-581.1241413385053</v>
      </c>
      <c r="BN14" s="118">
        <v>-578.57383688480286</v>
      </c>
      <c r="BO14" s="118">
        <v>-676.05112964056195</v>
      </c>
      <c r="BP14" s="529">
        <v>-605.17885937593098</v>
      </c>
      <c r="BQ14" s="529">
        <v>-624.76619606255747</v>
      </c>
      <c r="BR14" s="529">
        <v>-679.455172965869</v>
      </c>
      <c r="BS14" s="529"/>
      <c r="BT14" s="529"/>
      <c r="BU14" s="1111"/>
      <c r="BW14" s="1118" t="s">
        <v>775</v>
      </c>
      <c r="BX14" s="1118"/>
      <c r="BY14" s="1118" t="s">
        <v>773</v>
      </c>
      <c r="BZ14" s="1118"/>
      <c r="CA14" s="1118" t="s">
        <v>774</v>
      </c>
      <c r="CB14" s="9"/>
      <c r="CC14" s="9"/>
      <c r="CE14" s="11"/>
      <c r="CF14" s="11"/>
    </row>
    <row r="15" spans="1:84">
      <c r="A15" s="94"/>
      <c r="B15" s="92" t="s">
        <v>506</v>
      </c>
      <c r="C15" s="119"/>
      <c r="H15" s="118"/>
      <c r="I15" s="118"/>
      <c r="J15" s="118"/>
      <c r="K15" s="118"/>
      <c r="L15" s="118"/>
      <c r="M15" s="118"/>
      <c r="N15" s="118"/>
      <c r="O15" s="118"/>
      <c r="P15" s="118"/>
      <c r="Q15" s="118"/>
      <c r="R15" s="118"/>
      <c r="S15" s="118"/>
      <c r="T15" s="118"/>
      <c r="U15" s="118"/>
      <c r="V15" s="118"/>
      <c r="W15" s="118"/>
      <c r="X15" s="118"/>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v>-2324.9380000000001</v>
      </c>
      <c r="BA15" s="139">
        <v>-486.89600000000002</v>
      </c>
      <c r="BB15" s="139">
        <v>-1072.2809999999999</v>
      </c>
      <c r="BC15" s="139">
        <v>-1734.7570000000001</v>
      </c>
      <c r="BD15" s="139">
        <v>-2423.7489999999998</v>
      </c>
      <c r="BE15" s="139">
        <f>+BE14</f>
        <v>-608.05145617525909</v>
      </c>
      <c r="BF15" s="139">
        <v>-1242.4115147713505</v>
      </c>
      <c r="BG15" s="139">
        <v>-1916.8152515067882</v>
      </c>
      <c r="BH15" s="139">
        <v>-2566.4808345775318</v>
      </c>
      <c r="BI15" s="139">
        <f>+BI14</f>
        <v>-612.2949370120258</v>
      </c>
      <c r="BJ15" s="139">
        <v>-1251.9922963000849</v>
      </c>
      <c r="BK15" s="139">
        <v>-1976.3732500898664</v>
      </c>
      <c r="BL15" s="533">
        <v>-2519.7515605910844</v>
      </c>
      <c r="BM15" s="139">
        <v>-581.1241413385053</v>
      </c>
      <c r="BN15" s="139">
        <v>-1161.2812251351079</v>
      </c>
      <c r="BO15" s="139">
        <v>-1838.45861787172</v>
      </c>
      <c r="BP15" s="533">
        <v>-2446.3769645397601</v>
      </c>
      <c r="BQ15" s="533">
        <v>-624.76619606255747</v>
      </c>
      <c r="BR15" s="533">
        <v>-1303.7570899745201</v>
      </c>
      <c r="BS15" s="533"/>
      <c r="BT15" s="533"/>
      <c r="BU15" s="1111"/>
      <c r="BW15" s="1118" t="s">
        <v>775</v>
      </c>
      <c r="BX15" s="1118"/>
      <c r="BY15" s="1118" t="s">
        <v>773</v>
      </c>
      <c r="BZ15" s="1118"/>
      <c r="CA15" s="1118" t="s">
        <v>774</v>
      </c>
      <c r="CB15" s="9"/>
      <c r="CC15" s="9"/>
      <c r="CE15" s="11"/>
      <c r="CF15" s="11"/>
    </row>
    <row r="16" spans="1:84">
      <c r="A16" s="94"/>
      <c r="B16" s="92" t="s">
        <v>507</v>
      </c>
      <c r="C16" s="119"/>
      <c r="H16" s="118"/>
      <c r="I16" s="118"/>
      <c r="J16" s="118"/>
      <c r="K16" s="118"/>
      <c r="L16" s="118"/>
      <c r="M16" s="118"/>
      <c r="N16" s="118"/>
      <c r="O16" s="118"/>
      <c r="P16" s="118"/>
      <c r="Q16" s="118"/>
      <c r="R16" s="118"/>
      <c r="S16" s="118"/>
      <c r="T16" s="118"/>
      <c r="U16" s="118"/>
      <c r="V16" s="118"/>
      <c r="W16" s="118"/>
      <c r="X16" s="118"/>
      <c r="Y16" s="118">
        <v>-435.45499999999998</v>
      </c>
      <c r="Z16" s="118">
        <v>-363.298</v>
      </c>
      <c r="AA16" s="118">
        <v>-380.58300000000003</v>
      </c>
      <c r="AB16" s="118">
        <v>-391.57</v>
      </c>
      <c r="AC16" s="118">
        <v>-374.35899999999998</v>
      </c>
      <c r="AD16" s="118">
        <v>-471.94499999999999</v>
      </c>
      <c r="AE16" s="118">
        <v>-493.60500000000002</v>
      </c>
      <c r="AF16" s="118">
        <v>-473.286</v>
      </c>
      <c r="AG16" s="118">
        <v>-420.12299999999999</v>
      </c>
      <c r="AH16" s="118">
        <v>-429.05700000000002</v>
      </c>
      <c r="AI16" s="118">
        <v>-463.98</v>
      </c>
      <c r="AJ16" s="118">
        <v>-501.42700000000002</v>
      </c>
      <c r="AK16" s="118">
        <v>-427.14499999999998</v>
      </c>
      <c r="AL16" s="118">
        <v>-477.50599999999997</v>
      </c>
      <c r="AM16" s="118">
        <v>-480.34800000000001</v>
      </c>
      <c r="AN16" s="118">
        <v>-492.14699999999999</v>
      </c>
      <c r="AO16" s="118">
        <v>-380.52600000000001</v>
      </c>
      <c r="AP16" s="118">
        <v>-414.87200000000001</v>
      </c>
      <c r="AQ16" s="118">
        <v>-410.77800000000002</v>
      </c>
      <c r="AR16" s="118">
        <v>-397.53699999999998</v>
      </c>
      <c r="AS16" s="118">
        <v>-363.60300000000001</v>
      </c>
      <c r="AT16" s="118">
        <v>-423.05500000000001</v>
      </c>
      <c r="AU16" s="118">
        <v>-485.76600000000002</v>
      </c>
      <c r="AV16" s="118">
        <v>-419.58499999999998</v>
      </c>
      <c r="AW16" s="118">
        <v>-412.8</v>
      </c>
      <c r="AX16" s="118">
        <v>-528.77</v>
      </c>
      <c r="AY16" s="118">
        <v>-482.69499999999999</v>
      </c>
      <c r="AZ16" s="118">
        <v>-614.72799999999995</v>
      </c>
      <c r="BA16" s="118">
        <v>-494.80500000000001</v>
      </c>
      <c r="BB16" s="118">
        <v>-576.61199999999997</v>
      </c>
      <c r="BC16" s="118">
        <v>-666.38199999999995</v>
      </c>
      <c r="BD16" s="118">
        <v>-692.07899999999995</v>
      </c>
      <c r="BE16" s="118">
        <v>-606.77907377479971</v>
      </c>
      <c r="BF16" s="118">
        <v>-630.84910984209182</v>
      </c>
      <c r="BG16" s="118">
        <v>-671.81178911387917</v>
      </c>
      <c r="BH16" s="118">
        <v>-648.46286949738862</v>
      </c>
      <c r="BI16" s="118">
        <v>-611.52119501307607</v>
      </c>
      <c r="BJ16" s="118">
        <v>-633.10565398302674</v>
      </c>
      <c r="BK16" s="118">
        <v>-718.37063764142988</v>
      </c>
      <c r="BL16" s="529">
        <v>-541.59601840627192</v>
      </c>
      <c r="BM16" s="118">
        <v>-580.43977297469974</v>
      </c>
      <c r="BN16" s="118">
        <v>-577.98697520714995</v>
      </c>
      <c r="BO16" s="118">
        <v>-675.23040827789896</v>
      </c>
      <c r="BP16" s="529">
        <v>-604.34686543932605</v>
      </c>
      <c r="BQ16" s="529">
        <v>-624.03196678820257</v>
      </c>
      <c r="BR16" s="529">
        <v>-678.73774225825105</v>
      </c>
      <c r="BS16" s="529"/>
      <c r="BT16" s="529"/>
      <c r="BU16" s="1111"/>
      <c r="BW16" s="1118" t="s">
        <v>775</v>
      </c>
      <c r="BX16" s="1118"/>
      <c r="BY16" s="1118" t="s">
        <v>773</v>
      </c>
      <c r="BZ16" s="1118"/>
      <c r="CA16" s="1118" t="s">
        <v>774</v>
      </c>
      <c r="CB16" s="9"/>
      <c r="CC16" s="9"/>
      <c r="CE16" s="11"/>
      <c r="CF16" s="11"/>
    </row>
    <row r="17" spans="1:87">
      <c r="A17" s="94"/>
      <c r="B17" s="92" t="s">
        <v>508</v>
      </c>
      <c r="C17" s="119"/>
      <c r="H17" s="118"/>
      <c r="I17" s="118"/>
      <c r="J17" s="118"/>
      <c r="K17" s="118"/>
      <c r="L17" s="118"/>
      <c r="M17" s="118"/>
      <c r="N17" s="118"/>
      <c r="O17" s="118"/>
      <c r="P17" s="118"/>
      <c r="Q17" s="118"/>
      <c r="R17" s="118"/>
      <c r="S17" s="118"/>
      <c r="T17" s="118"/>
      <c r="U17" s="118"/>
      <c r="V17" s="118"/>
      <c r="W17" s="118"/>
      <c r="X17" s="118"/>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v>-2318.7660000000001</v>
      </c>
      <c r="BA17" s="139">
        <v>-494.80500000000001</v>
      </c>
      <c r="BB17" s="139">
        <v>-1069.711</v>
      </c>
      <c r="BC17" s="139">
        <v>-1730.6320000000001</v>
      </c>
      <c r="BD17" s="139">
        <v>-2417.9259999999999</v>
      </c>
      <c r="BE17" s="139">
        <f>+BE16</f>
        <v>-606.77907377479971</v>
      </c>
      <c r="BF17" s="139">
        <v>-1240.0320219771861</v>
      </c>
      <c r="BG17" s="139">
        <v>-1913.4138323111533</v>
      </c>
      <c r="BH17" s="139">
        <v>-2562.1409014005662</v>
      </c>
      <c r="BI17" s="139">
        <f>+BI16</f>
        <v>-611.52119501307607</v>
      </c>
      <c r="BJ17" s="139">
        <v>-1250.3308431861401</v>
      </c>
      <c r="BK17" s="139">
        <v>-1973.6966864089966</v>
      </c>
      <c r="BL17" s="533">
        <v>-2516.2751803940537</v>
      </c>
      <c r="BM17" s="139">
        <v>-580.43977297469974</v>
      </c>
      <c r="BN17" s="139">
        <v>-1160.0061092351079</v>
      </c>
      <c r="BO17" s="139">
        <v>-1836.36705757499</v>
      </c>
      <c r="BP17" s="533">
        <v>-2443.4524026361701</v>
      </c>
      <c r="BQ17" s="533">
        <v>-624.03196678820257</v>
      </c>
      <c r="BR17" s="533">
        <v>-1302.3007624008101</v>
      </c>
      <c r="BS17" s="533"/>
      <c r="BT17" s="533"/>
      <c r="BU17" s="1111"/>
      <c r="BW17" s="1118" t="s">
        <v>775</v>
      </c>
      <c r="BX17" s="1118"/>
      <c r="BY17" s="1118" t="s">
        <v>773</v>
      </c>
      <c r="BZ17" s="1118"/>
      <c r="CA17" s="1118" t="s">
        <v>774</v>
      </c>
      <c r="CB17" s="9"/>
      <c r="CC17" s="9"/>
      <c r="CE17" s="11"/>
      <c r="CF17" s="11"/>
    </row>
    <row r="18" spans="1:87">
      <c r="A18" s="94"/>
      <c r="B18" s="92" t="s">
        <v>177</v>
      </c>
      <c r="H18" s="118"/>
      <c r="I18" s="118"/>
      <c r="J18" s="118"/>
      <c r="K18" s="118"/>
      <c r="L18" s="118"/>
      <c r="M18" s="118"/>
      <c r="N18" s="118"/>
      <c r="O18" s="118"/>
      <c r="P18" s="118"/>
      <c r="Q18" s="118"/>
      <c r="R18" s="118"/>
      <c r="S18" s="118"/>
      <c r="T18" s="118"/>
      <c r="U18" s="118"/>
      <c r="V18" s="118"/>
      <c r="W18" s="118"/>
      <c r="X18" s="118"/>
      <c r="Y18" s="118">
        <v>48103.983930103481</v>
      </c>
      <c r="Z18" s="118">
        <v>25292</v>
      </c>
      <c r="AA18" s="118">
        <v>21792</v>
      </c>
      <c r="AB18" s="118">
        <v>31685</v>
      </c>
      <c r="AC18" s="118">
        <v>24090</v>
      </c>
      <c r="AD18" s="118">
        <v>49679.770000000004</v>
      </c>
      <c r="AE18" s="118">
        <v>42632</v>
      </c>
      <c r="AF18" s="118">
        <v>51273.91</v>
      </c>
      <c r="AG18" s="118">
        <v>72947</v>
      </c>
      <c r="AH18" s="118">
        <v>86550</v>
      </c>
      <c r="AI18" s="118">
        <v>89455</v>
      </c>
      <c r="AJ18" s="118">
        <v>107386</v>
      </c>
      <c r="AK18" s="118">
        <v>115421</v>
      </c>
      <c r="AL18" s="118">
        <v>140567</v>
      </c>
      <c r="AM18" s="118">
        <v>136628</v>
      </c>
      <c r="AN18" s="118">
        <v>131384</v>
      </c>
      <c r="AO18" s="118">
        <v>118014</v>
      </c>
      <c r="AP18" s="118">
        <v>135719</v>
      </c>
      <c r="AQ18" s="118">
        <v>135887</v>
      </c>
      <c r="AR18" s="118">
        <v>143224</v>
      </c>
      <c r="AS18" s="118">
        <v>107361</v>
      </c>
      <c r="AT18" s="118">
        <v>114090</v>
      </c>
      <c r="AU18" s="118">
        <v>122097</v>
      </c>
      <c r="AV18" s="118">
        <v>133544</v>
      </c>
      <c r="AW18" s="118">
        <v>124505</v>
      </c>
      <c r="AX18" s="118">
        <v>121595</v>
      </c>
      <c r="AY18" s="118">
        <v>117923</v>
      </c>
      <c r="AZ18" s="118">
        <v>122929</v>
      </c>
      <c r="BA18" s="118">
        <v>110941</v>
      </c>
      <c r="BB18" s="118">
        <v>115058</v>
      </c>
      <c r="BC18" s="118">
        <v>102810</v>
      </c>
      <c r="BD18" s="118">
        <v>107245</v>
      </c>
      <c r="BE18" s="529">
        <v>94123</v>
      </c>
      <c r="BF18" s="529">
        <v>74712</v>
      </c>
      <c r="BG18" s="529">
        <v>62182</v>
      </c>
      <c r="BH18" s="529">
        <v>59473</v>
      </c>
      <c r="BI18" s="529">
        <v>53938</v>
      </c>
      <c r="BJ18" s="529">
        <v>56591</v>
      </c>
      <c r="BK18" s="529">
        <v>56959.999999999993</v>
      </c>
      <c r="BL18" s="529">
        <v>59671.576238284113</v>
      </c>
      <c r="BM18" s="529">
        <v>49670</v>
      </c>
      <c r="BN18" s="529">
        <v>41352</v>
      </c>
      <c r="BO18" s="529">
        <v>47284.149465276969</v>
      </c>
      <c r="BP18" s="529">
        <v>53183</v>
      </c>
      <c r="BQ18" s="529">
        <v>46818.305781588017</v>
      </c>
      <c r="BR18" s="529">
        <v>40702</v>
      </c>
      <c r="BS18" s="529"/>
      <c r="BT18" s="529"/>
      <c r="BW18" s="1118" t="s">
        <v>819</v>
      </c>
      <c r="BX18" s="1118"/>
      <c r="BY18" s="1118" t="s">
        <v>773</v>
      </c>
      <c r="BZ18" s="1118"/>
      <c r="CA18" s="1118" t="s">
        <v>774</v>
      </c>
      <c r="CB18" s="569"/>
      <c r="CC18" s="9"/>
      <c r="CE18" s="11"/>
      <c r="CF18" s="11"/>
    </row>
    <row r="19" spans="1:87">
      <c r="CB19" s="9"/>
      <c r="CC19" s="9"/>
      <c r="CH19" s="9"/>
      <c r="CI19" s="9"/>
    </row>
    <row r="20" spans="1:87" s="78" customFormat="1">
      <c r="A20" s="121" t="s">
        <v>268</v>
      </c>
      <c r="BE20" s="527"/>
      <c r="BF20" s="527"/>
      <c r="BG20" s="527"/>
      <c r="BH20" s="527"/>
      <c r="BI20" s="527"/>
      <c r="BJ20" s="527"/>
      <c r="BK20" s="527"/>
      <c r="BL20" s="527"/>
      <c r="BM20" s="527"/>
      <c r="BN20" s="527"/>
      <c r="BO20" s="527"/>
      <c r="BP20" s="527"/>
      <c r="BQ20" s="527"/>
      <c r="BR20" s="527"/>
      <c r="BS20" s="527"/>
      <c r="BT20" s="527"/>
      <c r="BU20" s="527"/>
      <c r="BV20" s="527"/>
      <c r="BW20" s="528"/>
      <c r="BX20" s="528"/>
      <c r="BY20" s="528"/>
      <c r="BZ20" s="528"/>
      <c r="CA20" s="528"/>
      <c r="CB20" s="12"/>
      <c r="CC20" s="12"/>
    </row>
    <row r="21" spans="1:87">
      <c r="A21" s="94"/>
      <c r="B21" s="92" t="s">
        <v>858</v>
      </c>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529"/>
      <c r="BF21" s="529"/>
      <c r="BG21" s="529"/>
      <c r="BH21" s="529"/>
      <c r="BI21" s="529"/>
      <c r="BJ21" s="529">
        <v>-125900</v>
      </c>
      <c r="BK21" s="529"/>
      <c r="BL21" s="529"/>
      <c r="BM21" s="529"/>
      <c r="BN21" s="529"/>
      <c r="BO21" s="529"/>
      <c r="BP21" s="529"/>
      <c r="BQ21" s="529"/>
      <c r="BR21" s="529"/>
      <c r="BS21" s="529"/>
      <c r="BT21" s="529"/>
      <c r="CB21" s="569"/>
      <c r="CC21" s="9"/>
      <c r="CE21" s="11"/>
      <c r="CF21" s="11"/>
    </row>
    <row r="22" spans="1:87">
      <c r="A22" s="94"/>
      <c r="B22" s="92" t="s">
        <v>859</v>
      </c>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529"/>
      <c r="BF22" s="529"/>
      <c r="BG22" s="529"/>
      <c r="BH22" s="529"/>
      <c r="BI22" s="529"/>
      <c r="BJ22" s="529"/>
      <c r="BK22" s="529"/>
      <c r="BL22" s="529"/>
      <c r="BM22" s="529"/>
      <c r="BN22" s="529"/>
      <c r="BO22" s="529"/>
      <c r="BP22" s="529"/>
      <c r="BQ22" s="529"/>
      <c r="BR22" s="529"/>
      <c r="BS22" s="529"/>
      <c r="BT22" s="529"/>
      <c r="CB22" s="569"/>
      <c r="CC22" s="9"/>
      <c r="CE22" s="11"/>
      <c r="CF22" s="11"/>
    </row>
    <row r="23" spans="1:87">
      <c r="A23" s="94"/>
      <c r="B23" s="92" t="s">
        <v>860</v>
      </c>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529"/>
      <c r="BF23" s="529"/>
      <c r="BG23" s="529"/>
      <c r="BH23" s="529"/>
      <c r="BI23" s="529"/>
      <c r="BJ23" s="529">
        <v>-11080.161</v>
      </c>
      <c r="BK23" s="529"/>
      <c r="BL23" s="529"/>
      <c r="BM23" s="529"/>
      <c r="BN23" s="529"/>
      <c r="BO23" s="529"/>
      <c r="BP23" s="529"/>
      <c r="BQ23" s="529"/>
      <c r="BR23" s="529"/>
      <c r="BS23" s="529"/>
      <c r="BT23" s="529"/>
      <c r="CB23" s="569"/>
      <c r="CC23" s="9"/>
      <c r="CE23" s="11"/>
      <c r="CF23" s="11"/>
    </row>
    <row r="24" spans="1:87">
      <c r="CB24" s="9"/>
      <c r="CC24" s="9"/>
      <c r="CH24" s="9"/>
      <c r="CI24" s="9"/>
    </row>
    <row r="25" spans="1:87" s="78" customFormat="1">
      <c r="A25" s="121" t="s">
        <v>463</v>
      </c>
      <c r="BE25" s="527"/>
      <c r="BF25" s="527"/>
      <c r="BG25" s="527"/>
      <c r="BH25" s="527"/>
      <c r="BI25" s="527"/>
      <c r="BJ25" s="527"/>
      <c r="BK25" s="527"/>
      <c r="BL25" s="527"/>
      <c r="BM25" s="527"/>
      <c r="BN25" s="527"/>
      <c r="BO25" s="527"/>
      <c r="BP25" s="527"/>
      <c r="BQ25" s="527"/>
      <c r="BR25" s="527"/>
      <c r="BS25" s="527"/>
      <c r="BT25" s="527"/>
      <c r="BU25" s="527"/>
      <c r="BV25" s="527"/>
      <c r="BW25" s="528"/>
      <c r="BX25" s="528"/>
      <c r="BY25" s="528"/>
      <c r="BZ25" s="528"/>
      <c r="CA25" s="528"/>
      <c r="CB25" s="12"/>
      <c r="CC25" s="12"/>
    </row>
    <row r="26" spans="1:87">
      <c r="A26" s="122"/>
      <c r="B26" s="114" t="s">
        <v>464</v>
      </c>
      <c r="H26" s="68"/>
      <c r="I26" s="68">
        <f t="shared" ref="I26:AI26" si="13">+H29</f>
        <v>94850</v>
      </c>
      <c r="J26" s="68">
        <f t="shared" si="13"/>
        <v>92212</v>
      </c>
      <c r="K26" s="68">
        <f t="shared" si="13"/>
        <v>90519</v>
      </c>
      <c r="L26" s="68">
        <f t="shared" si="13"/>
        <v>91970</v>
      </c>
      <c r="M26" s="68">
        <f t="shared" si="13"/>
        <v>91176</v>
      </c>
      <c r="N26" s="68">
        <f t="shared" si="13"/>
        <v>89651</v>
      </c>
      <c r="O26" s="68">
        <f t="shared" si="13"/>
        <v>90868</v>
      </c>
      <c r="P26" s="68">
        <f t="shared" si="13"/>
        <v>91506</v>
      </c>
      <c r="Q26" s="68">
        <f t="shared" si="13"/>
        <v>92373</v>
      </c>
      <c r="R26" s="68">
        <f t="shared" si="13"/>
        <v>90917</v>
      </c>
      <c r="S26" s="68">
        <f t="shared" si="13"/>
        <v>92227</v>
      </c>
      <c r="T26" s="68">
        <f t="shared" si="13"/>
        <v>94529</v>
      </c>
      <c r="U26" s="68">
        <f t="shared" si="13"/>
        <v>95566</v>
      </c>
      <c r="V26" s="68">
        <f t="shared" si="13"/>
        <v>95382</v>
      </c>
      <c r="W26" s="68">
        <f t="shared" si="13"/>
        <v>96596</v>
      </c>
      <c r="X26" s="68">
        <f t="shared" si="13"/>
        <v>97966</v>
      </c>
      <c r="Y26" s="68">
        <f t="shared" si="13"/>
        <v>98358</v>
      </c>
      <c r="Z26" s="68">
        <f t="shared" si="13"/>
        <v>98145</v>
      </c>
      <c r="AA26" s="68">
        <f t="shared" si="13"/>
        <v>101008</v>
      </c>
      <c r="AB26" s="68">
        <f t="shared" si="13"/>
        <v>104702</v>
      </c>
      <c r="AC26" s="68">
        <f t="shared" si="13"/>
        <v>106710</v>
      </c>
      <c r="AD26" s="68">
        <f t="shared" si="13"/>
        <v>108220</v>
      </c>
      <c r="AE26" s="68">
        <f t="shared" si="13"/>
        <v>112365</v>
      </c>
      <c r="AF26" s="68">
        <f t="shared" si="13"/>
        <v>115345</v>
      </c>
      <c r="AG26" s="68">
        <f t="shared" si="13"/>
        <v>116827</v>
      </c>
      <c r="AH26" s="68">
        <f t="shared" si="13"/>
        <v>117907</v>
      </c>
      <c r="AI26" s="68">
        <f t="shared" si="13"/>
        <v>121471</v>
      </c>
      <c r="AJ26" s="68">
        <f>+AI29</f>
        <v>124436</v>
      </c>
      <c r="AK26" s="68">
        <f>+AJ29</f>
        <v>126121</v>
      </c>
      <c r="AL26" s="68">
        <f>+AK29</f>
        <v>127182</v>
      </c>
      <c r="AM26" s="68">
        <f t="shared" ref="AM26:BD26" si="14">+AL29</f>
        <v>130156</v>
      </c>
      <c r="AN26" s="68">
        <f t="shared" si="14"/>
        <v>130658</v>
      </c>
      <c r="AO26" s="68">
        <f t="shared" si="14"/>
        <v>130736</v>
      </c>
      <c r="AP26" s="68">
        <f t="shared" si="14"/>
        <v>129821</v>
      </c>
      <c r="AQ26" s="68">
        <f t="shared" si="14"/>
        <v>129550</v>
      </c>
      <c r="AR26" s="68">
        <f t="shared" si="14"/>
        <v>130871</v>
      </c>
      <c r="AS26" s="68">
        <f t="shared" si="14"/>
        <v>130522</v>
      </c>
      <c r="AT26" s="68">
        <f t="shared" si="14"/>
        <v>130095</v>
      </c>
      <c r="AU26" s="68">
        <f t="shared" si="14"/>
        <v>134157</v>
      </c>
      <c r="AV26" s="68">
        <f t="shared" si="14"/>
        <v>136306</v>
      </c>
      <c r="AW26" s="68">
        <f t="shared" si="14"/>
        <v>134907</v>
      </c>
      <c r="AX26" s="68">
        <f t="shared" si="14"/>
        <v>132030</v>
      </c>
      <c r="AY26" s="68">
        <f t="shared" si="14"/>
        <v>132041</v>
      </c>
      <c r="AZ26" s="68">
        <f t="shared" si="14"/>
        <v>130023</v>
      </c>
      <c r="BA26" s="68">
        <f t="shared" si="14"/>
        <v>129515</v>
      </c>
      <c r="BB26" s="68">
        <f t="shared" si="14"/>
        <v>130206</v>
      </c>
      <c r="BC26" s="68">
        <f t="shared" si="14"/>
        <v>132149</v>
      </c>
      <c r="BD26" s="68">
        <f t="shared" si="14"/>
        <v>134313</v>
      </c>
      <c r="BE26" s="534">
        <f t="shared" ref="BE26" si="15">+BD29</f>
        <v>135208</v>
      </c>
      <c r="BF26" s="534">
        <f t="shared" ref="BF26" si="16">+BE29</f>
        <v>136430</v>
      </c>
      <c r="BG26" s="534">
        <f t="shared" ref="BG26" si="17">+BF29</f>
        <v>137806</v>
      </c>
      <c r="BH26" s="534">
        <f t="shared" ref="BH26" si="18">+BG29</f>
        <v>139053</v>
      </c>
      <c r="BI26" s="534">
        <f t="shared" ref="BI26" si="19">+BH29</f>
        <v>141572</v>
      </c>
      <c r="BJ26" s="534">
        <f t="shared" ref="BJ26" si="20">+BI29</f>
        <v>142855</v>
      </c>
      <c r="BK26" s="534">
        <f t="shared" ref="BK26" si="21">+BJ29</f>
        <v>145789</v>
      </c>
      <c r="BL26" s="534">
        <f t="shared" ref="BL26" si="22">+BK29</f>
        <v>148890</v>
      </c>
      <c r="BM26" s="534">
        <f t="shared" ref="BM26" si="23">+BL29</f>
        <v>151611</v>
      </c>
      <c r="BN26" s="534">
        <f t="shared" ref="BN26" si="24">+BM29</f>
        <v>152167</v>
      </c>
      <c r="BO26" s="534">
        <f t="shared" ref="BO26" si="25">+BN29</f>
        <v>152592</v>
      </c>
      <c r="BP26" s="534">
        <f t="shared" ref="BP26:BT26" si="26">+BO29</f>
        <v>152200</v>
      </c>
      <c r="BQ26" s="534">
        <f t="shared" si="26"/>
        <v>151524</v>
      </c>
      <c r="BR26" s="534">
        <f t="shared" si="26"/>
        <v>149732</v>
      </c>
      <c r="BS26" s="534">
        <f t="shared" si="26"/>
        <v>148612</v>
      </c>
      <c r="BT26" s="534">
        <f t="shared" si="26"/>
        <v>0</v>
      </c>
      <c r="CB26" s="9"/>
      <c r="CC26" s="9"/>
    </row>
    <row r="27" spans="1:87">
      <c r="A27" s="122"/>
      <c r="C27" t="s">
        <v>465</v>
      </c>
      <c r="H27" s="118">
        <v>7805</v>
      </c>
      <c r="I27" s="118">
        <f>1909+2028+3208</f>
        <v>7145</v>
      </c>
      <c r="J27" s="118">
        <v>8061</v>
      </c>
      <c r="K27" s="118">
        <v>10334</v>
      </c>
      <c r="L27" s="118">
        <v>8171</v>
      </c>
      <c r="M27" s="118">
        <v>7650</v>
      </c>
      <c r="N27" s="118">
        <v>9786</v>
      </c>
      <c r="O27" s="118">
        <v>8613</v>
      </c>
      <c r="P27" s="118">
        <v>8376</v>
      </c>
      <c r="Q27" s="118">
        <v>7165</v>
      </c>
      <c r="R27" s="118">
        <v>8875</v>
      </c>
      <c r="S27" s="118">
        <v>9630</v>
      </c>
      <c r="T27" s="118">
        <v>8485</v>
      </c>
      <c r="U27" s="118">
        <f>2241+2313+2893</f>
        <v>7447</v>
      </c>
      <c r="V27" s="118">
        <v>9082</v>
      </c>
      <c r="W27" s="118">
        <v>8793</v>
      </c>
      <c r="X27" s="118">
        <v>8510</v>
      </c>
      <c r="Y27" s="118">
        <v>7486</v>
      </c>
      <c r="Z27" s="118">
        <v>10439</v>
      </c>
      <c r="AA27" s="118">
        <v>11160</v>
      </c>
      <c r="AB27" s="118">
        <v>10547</v>
      </c>
      <c r="AC27" s="118">
        <v>9666</v>
      </c>
      <c r="AD27" s="118">
        <v>12171</v>
      </c>
      <c r="AE27" s="118">
        <v>11739</v>
      </c>
      <c r="AF27" s="118">
        <v>11148</v>
      </c>
      <c r="AG27" s="118">
        <v>10903</v>
      </c>
      <c r="AH27" s="118">
        <v>12947</v>
      </c>
      <c r="AI27" s="118">
        <v>12783</v>
      </c>
      <c r="AJ27" s="118">
        <v>11902</v>
      </c>
      <c r="AK27" s="118">
        <v>11730</v>
      </c>
      <c r="AL27" s="118">
        <v>13544</v>
      </c>
      <c r="AM27" s="118">
        <v>11715</v>
      </c>
      <c r="AN27" s="118">
        <v>11052</v>
      </c>
      <c r="AO27" s="118">
        <v>10065</v>
      </c>
      <c r="AP27" s="118">
        <v>10919</v>
      </c>
      <c r="AQ27" s="118">
        <v>12682</v>
      </c>
      <c r="AR27" s="118">
        <v>11073</v>
      </c>
      <c r="AS27" s="118">
        <v>10599</v>
      </c>
      <c r="AT27" s="118">
        <v>12250</v>
      </c>
      <c r="AU27" s="118">
        <v>13138</v>
      </c>
      <c r="AV27" s="118">
        <v>12119</v>
      </c>
      <c r="AW27" s="118">
        <v>10833</v>
      </c>
      <c r="AX27" s="118">
        <v>10112</v>
      </c>
      <c r="AY27" s="118">
        <v>9381</v>
      </c>
      <c r="AZ27" s="118">
        <v>9296</v>
      </c>
      <c r="BA27" s="118">
        <v>9983</v>
      </c>
      <c r="BB27" s="118">
        <v>11529</v>
      </c>
      <c r="BC27" s="118">
        <v>12518</v>
      </c>
      <c r="BD27" s="118">
        <v>11117</v>
      </c>
      <c r="BE27" s="529">
        <v>11118</v>
      </c>
      <c r="BF27" s="529">
        <v>12638</v>
      </c>
      <c r="BG27" s="529">
        <v>12311</v>
      </c>
      <c r="BH27" s="529">
        <v>13029</v>
      </c>
      <c r="BI27" s="529">
        <v>12949</v>
      </c>
      <c r="BJ27" s="529">
        <v>14402</v>
      </c>
      <c r="BK27" s="529">
        <v>14349</v>
      </c>
      <c r="BL27" s="529">
        <v>14620</v>
      </c>
      <c r="BM27" s="529">
        <v>12339</v>
      </c>
      <c r="BN27" s="529">
        <v>12903</v>
      </c>
      <c r="BO27" s="529">
        <v>12482</v>
      </c>
      <c r="BP27" s="529">
        <v>10998</v>
      </c>
      <c r="BQ27" s="529">
        <v>10569</v>
      </c>
      <c r="BR27" s="529">
        <v>11020</v>
      </c>
      <c r="BS27" s="529"/>
      <c r="BT27" s="529"/>
      <c r="BW27" s="1118" t="s">
        <v>466</v>
      </c>
      <c r="CB27" s="9"/>
      <c r="CC27" s="9"/>
    </row>
    <row r="28" spans="1:87">
      <c r="A28" s="122"/>
      <c r="C28" t="s">
        <v>467</v>
      </c>
      <c r="H28" s="68"/>
      <c r="I28" s="68">
        <f t="shared" ref="I28:BL28" si="27">+I29-SUM(I26:I27)</f>
        <v>-9783</v>
      </c>
      <c r="J28" s="68">
        <f t="shared" si="27"/>
        <v>-9754</v>
      </c>
      <c r="K28" s="68">
        <f t="shared" si="27"/>
        <v>-8883</v>
      </c>
      <c r="L28" s="68">
        <f t="shared" si="27"/>
        <v>-8965</v>
      </c>
      <c r="M28" s="68">
        <f t="shared" si="27"/>
        <v>-9175</v>
      </c>
      <c r="N28" s="68">
        <f t="shared" si="27"/>
        <v>-8569</v>
      </c>
      <c r="O28" s="68">
        <f t="shared" si="27"/>
        <v>-7975</v>
      </c>
      <c r="P28" s="68">
        <f t="shared" si="27"/>
        <v>-7509</v>
      </c>
      <c r="Q28" s="68">
        <f t="shared" si="27"/>
        <v>-8621</v>
      </c>
      <c r="R28" s="68">
        <f t="shared" si="27"/>
        <v>-7565</v>
      </c>
      <c r="S28" s="68">
        <f t="shared" si="27"/>
        <v>-7328</v>
      </c>
      <c r="T28" s="68">
        <f t="shared" si="27"/>
        <v>-7448</v>
      </c>
      <c r="U28" s="68">
        <f t="shared" si="27"/>
        <v>-7631</v>
      </c>
      <c r="V28" s="68">
        <f t="shared" si="27"/>
        <v>-7868</v>
      </c>
      <c r="W28" s="68">
        <f t="shared" si="27"/>
        <v>-7423</v>
      </c>
      <c r="X28" s="68">
        <f t="shared" si="27"/>
        <v>-8118</v>
      </c>
      <c r="Y28" s="68">
        <f t="shared" si="27"/>
        <v>-7699</v>
      </c>
      <c r="Z28" s="68">
        <f t="shared" si="27"/>
        <v>-7576</v>
      </c>
      <c r="AA28" s="68">
        <f t="shared" si="27"/>
        <v>-7466</v>
      </c>
      <c r="AB28" s="68">
        <f t="shared" si="27"/>
        <v>-8539</v>
      </c>
      <c r="AC28" s="68">
        <f t="shared" si="27"/>
        <v>-8156</v>
      </c>
      <c r="AD28" s="68">
        <f t="shared" si="27"/>
        <v>-8026</v>
      </c>
      <c r="AE28" s="68">
        <f t="shared" si="27"/>
        <v>-8759</v>
      </c>
      <c r="AF28" s="68">
        <f t="shared" si="27"/>
        <v>-9666</v>
      </c>
      <c r="AG28" s="68">
        <f t="shared" si="27"/>
        <v>-9823</v>
      </c>
      <c r="AH28" s="68">
        <f t="shared" si="27"/>
        <v>-9383</v>
      </c>
      <c r="AI28" s="68">
        <f t="shared" si="27"/>
        <v>-9818</v>
      </c>
      <c r="AJ28" s="68">
        <f t="shared" si="27"/>
        <v>-10217</v>
      </c>
      <c r="AK28" s="68">
        <f t="shared" si="27"/>
        <v>-10669</v>
      </c>
      <c r="AL28" s="68">
        <f t="shared" si="27"/>
        <v>-10570</v>
      </c>
      <c r="AM28" s="68">
        <f t="shared" si="27"/>
        <v>-11213</v>
      </c>
      <c r="AN28" s="68">
        <f t="shared" si="27"/>
        <v>-10974</v>
      </c>
      <c r="AO28" s="68">
        <f t="shared" si="27"/>
        <v>-10980</v>
      </c>
      <c r="AP28" s="68">
        <f>+AP29-SUM(AP26:AP27)</f>
        <v>-11190</v>
      </c>
      <c r="AQ28" s="68">
        <f t="shared" si="27"/>
        <v>-11361</v>
      </c>
      <c r="AR28" s="68">
        <f t="shared" si="27"/>
        <v>-11422</v>
      </c>
      <c r="AS28" s="68">
        <f t="shared" si="27"/>
        <v>-11026</v>
      </c>
      <c r="AT28" s="68">
        <f t="shared" si="27"/>
        <v>-8188</v>
      </c>
      <c r="AU28" s="68">
        <f t="shared" si="27"/>
        <v>-10989</v>
      </c>
      <c r="AV28" s="68">
        <f t="shared" si="27"/>
        <v>-13518</v>
      </c>
      <c r="AW28" s="68">
        <f t="shared" si="27"/>
        <v>-13710</v>
      </c>
      <c r="AX28" s="68">
        <f t="shared" si="27"/>
        <v>-10101</v>
      </c>
      <c r="AY28" s="68">
        <f t="shared" si="27"/>
        <v>-11399</v>
      </c>
      <c r="AZ28" s="68">
        <f t="shared" si="27"/>
        <v>-9804</v>
      </c>
      <c r="BA28" s="68">
        <f t="shared" si="27"/>
        <v>-9292</v>
      </c>
      <c r="BB28" s="68">
        <f t="shared" si="27"/>
        <v>-9586</v>
      </c>
      <c r="BC28" s="68">
        <f t="shared" si="27"/>
        <v>-10354</v>
      </c>
      <c r="BD28" s="68">
        <f t="shared" si="27"/>
        <v>-10222</v>
      </c>
      <c r="BE28" s="534">
        <f t="shared" si="27"/>
        <v>-9896</v>
      </c>
      <c r="BF28" s="534">
        <f t="shared" si="27"/>
        <v>-11262</v>
      </c>
      <c r="BG28" s="534">
        <f t="shared" si="27"/>
        <v>-11064</v>
      </c>
      <c r="BH28" s="534">
        <f t="shared" si="27"/>
        <v>-10510</v>
      </c>
      <c r="BI28" s="534">
        <f t="shared" si="27"/>
        <v>-11666</v>
      </c>
      <c r="BJ28" s="534">
        <f t="shared" si="27"/>
        <v>-11468</v>
      </c>
      <c r="BK28" s="534">
        <f t="shared" si="27"/>
        <v>-11248</v>
      </c>
      <c r="BL28" s="534">
        <f t="shared" si="27"/>
        <v>-11899</v>
      </c>
      <c r="BM28" s="534">
        <f t="shared" ref="BM28:BP28" si="28">+BM29-SUM(BM26:BM27)</f>
        <v>-11783</v>
      </c>
      <c r="BN28" s="534">
        <f t="shared" si="28"/>
        <v>-12478</v>
      </c>
      <c r="BO28" s="534">
        <f t="shared" si="28"/>
        <v>-12874</v>
      </c>
      <c r="BP28" s="534">
        <f t="shared" si="28"/>
        <v>-11674</v>
      </c>
      <c r="BQ28" s="534">
        <f t="shared" ref="BQ28:BR28" si="29">+BQ29-SUM(BQ26:BQ27)</f>
        <v>-12361</v>
      </c>
      <c r="BR28" s="534">
        <f t="shared" si="29"/>
        <v>-12140</v>
      </c>
      <c r="BS28" s="534">
        <f t="shared" ref="BS28:BT28" si="30">+BS29-SUM(BS26:BS27)</f>
        <v>-148612</v>
      </c>
      <c r="BT28" s="534">
        <f t="shared" si="30"/>
        <v>0</v>
      </c>
      <c r="BW28" s="1118"/>
      <c r="CB28" s="9"/>
      <c r="CC28" s="9"/>
    </row>
    <row r="29" spans="1:87">
      <c r="A29" s="94"/>
      <c r="B29" s="114" t="s">
        <v>468</v>
      </c>
      <c r="H29" s="123">
        <v>94850</v>
      </c>
      <c r="I29" s="123">
        <v>92212</v>
      </c>
      <c r="J29" s="123">
        <v>90519</v>
      </c>
      <c r="K29" s="123">
        <v>91970</v>
      </c>
      <c r="L29" s="123">
        <v>91176</v>
      </c>
      <c r="M29" s="123">
        <v>89651</v>
      </c>
      <c r="N29" s="123">
        <v>90868</v>
      </c>
      <c r="O29" s="123">
        <v>91506</v>
      </c>
      <c r="P29" s="123">
        <v>92373</v>
      </c>
      <c r="Q29" s="123">
        <v>90917</v>
      </c>
      <c r="R29" s="123">
        <v>92227</v>
      </c>
      <c r="S29" s="123">
        <v>94529</v>
      </c>
      <c r="T29" s="123">
        <v>95566</v>
      </c>
      <c r="U29" s="123">
        <v>95382</v>
      </c>
      <c r="V29" s="123">
        <v>96596</v>
      </c>
      <c r="W29" s="123">
        <v>97966</v>
      </c>
      <c r="X29" s="123">
        <v>98358</v>
      </c>
      <c r="Y29" s="123">
        <v>98145</v>
      </c>
      <c r="Z29" s="123">
        <v>101008</v>
      </c>
      <c r="AA29" s="123">
        <v>104702</v>
      </c>
      <c r="AB29" s="123">
        <v>106710</v>
      </c>
      <c r="AC29" s="123">
        <v>108220</v>
      </c>
      <c r="AD29" s="123">
        <v>112365</v>
      </c>
      <c r="AE29" s="123">
        <v>115345</v>
      </c>
      <c r="AF29" s="123">
        <v>116827</v>
      </c>
      <c r="AG29" s="123">
        <v>117907</v>
      </c>
      <c r="AH29" s="123">
        <v>121471</v>
      </c>
      <c r="AI29" s="123">
        <v>124436</v>
      </c>
      <c r="AJ29" s="123">
        <v>126121</v>
      </c>
      <c r="AK29" s="123">
        <v>127182</v>
      </c>
      <c r="AL29" s="123">
        <v>130156</v>
      </c>
      <c r="AM29" s="123">
        <v>130658</v>
      </c>
      <c r="AN29" s="123">
        <v>130736</v>
      </c>
      <c r="AO29" s="123">
        <v>129821</v>
      </c>
      <c r="AP29" s="123">
        <v>129550</v>
      </c>
      <c r="AQ29" s="123">
        <v>130871</v>
      </c>
      <c r="AR29" s="123">
        <v>130522</v>
      </c>
      <c r="AS29" s="123">
        <v>130095</v>
      </c>
      <c r="AT29" s="123">
        <v>134157</v>
      </c>
      <c r="AU29" s="123">
        <v>136306</v>
      </c>
      <c r="AV29" s="123">
        <v>134907</v>
      </c>
      <c r="AW29" s="123">
        <v>132030</v>
      </c>
      <c r="AX29" s="123">
        <v>132041</v>
      </c>
      <c r="AY29" s="123">
        <v>130023</v>
      </c>
      <c r="AZ29" s="123">
        <v>129515</v>
      </c>
      <c r="BA29" s="123">
        <v>130206</v>
      </c>
      <c r="BB29" s="123">
        <v>132149</v>
      </c>
      <c r="BC29" s="123">
        <v>134313</v>
      </c>
      <c r="BD29" s="123">
        <v>135208</v>
      </c>
      <c r="BE29" s="535">
        <v>136430</v>
      </c>
      <c r="BF29" s="535">
        <v>137806</v>
      </c>
      <c r="BG29" s="535">
        <v>139053</v>
      </c>
      <c r="BH29" s="535">
        <v>141572</v>
      </c>
      <c r="BI29" s="535">
        <v>142855</v>
      </c>
      <c r="BJ29" s="535">
        <v>145789</v>
      </c>
      <c r="BK29" s="535">
        <v>148890</v>
      </c>
      <c r="BL29" s="535">
        <v>151611</v>
      </c>
      <c r="BM29" s="535">
        <v>152167</v>
      </c>
      <c r="BN29" s="535">
        <v>152592</v>
      </c>
      <c r="BO29" s="535">
        <v>152200</v>
      </c>
      <c r="BP29" s="535">
        <v>151524</v>
      </c>
      <c r="BQ29" s="535">
        <v>149732</v>
      </c>
      <c r="BR29" s="535">
        <v>148612</v>
      </c>
      <c r="BS29" s="535"/>
      <c r="BT29" s="535"/>
      <c r="BW29" s="1118" t="s">
        <v>466</v>
      </c>
      <c r="CA29" s="1051"/>
      <c r="CB29" s="13"/>
      <c r="CC29" s="13"/>
      <c r="CD29" s="14"/>
      <c r="CE29" s="14"/>
      <c r="CF29" s="14"/>
      <c r="CG29" s="14"/>
    </row>
    <row r="30" spans="1:87">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536"/>
      <c r="BF30" s="536"/>
      <c r="BG30" s="536"/>
      <c r="BH30" s="536"/>
      <c r="BI30" s="536"/>
      <c r="BJ30" s="536"/>
      <c r="BK30" s="536"/>
      <c r="BL30" s="536"/>
      <c r="BM30" s="536"/>
      <c r="BN30" s="536"/>
      <c r="BO30" s="536"/>
      <c r="BP30" s="536"/>
      <c r="BQ30" s="536"/>
      <c r="BR30" s="536"/>
      <c r="BS30" s="536"/>
      <c r="BT30" s="536"/>
      <c r="CA30" s="1052"/>
      <c r="CB30" s="15"/>
      <c r="CC30" s="15"/>
      <c r="CD30" s="11"/>
      <c r="CE30" s="11"/>
      <c r="CF30" s="11"/>
      <c r="CG30" s="11"/>
    </row>
    <row r="31" spans="1:87">
      <c r="B31" t="s">
        <v>469</v>
      </c>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537"/>
      <c r="BF31" s="537"/>
      <c r="BG31" s="537"/>
      <c r="BH31" s="537"/>
      <c r="BI31" s="537"/>
      <c r="BJ31" s="537"/>
      <c r="BK31" s="537"/>
      <c r="BL31" s="537"/>
      <c r="BM31" s="537"/>
      <c r="BN31" s="537"/>
      <c r="BO31" s="537"/>
      <c r="BP31" s="537"/>
      <c r="BQ31" s="537"/>
      <c r="BR31" s="537"/>
      <c r="BS31" s="537"/>
      <c r="BT31" s="537"/>
      <c r="CA31" s="1052"/>
      <c r="CB31" s="15"/>
      <c r="CC31" s="15"/>
      <c r="CD31" s="11"/>
      <c r="CE31" s="11"/>
      <c r="CF31" s="11"/>
      <c r="CG31" s="11"/>
    </row>
    <row r="32" spans="1:87">
      <c r="C32" t="s">
        <v>470</v>
      </c>
      <c r="H32" s="127">
        <v>44.475999999999999</v>
      </c>
      <c r="I32" s="127">
        <v>41.131</v>
      </c>
      <c r="J32" s="127">
        <v>47.472000000000001</v>
      </c>
      <c r="K32" s="127">
        <v>50.146000000000001</v>
      </c>
      <c r="L32" s="127">
        <v>48.85</v>
      </c>
      <c r="M32" s="127">
        <v>44.74</v>
      </c>
      <c r="N32" s="127">
        <v>47.843000000000004</v>
      </c>
      <c r="O32" s="127">
        <v>41.819000000000003</v>
      </c>
      <c r="P32" s="127">
        <v>41.667000000000002</v>
      </c>
      <c r="Q32" s="127">
        <v>40.215000000000003</v>
      </c>
      <c r="R32" s="127">
        <v>45.9</v>
      </c>
      <c r="S32" s="127">
        <v>43.896999999999998</v>
      </c>
      <c r="T32" s="127">
        <v>43.484999999999999</v>
      </c>
      <c r="U32" s="127">
        <v>40.088000000000001</v>
      </c>
      <c r="V32" s="127">
        <v>48.029000000000003</v>
      </c>
      <c r="W32" s="127">
        <v>44.692</v>
      </c>
      <c r="X32" s="127">
        <v>46.984999999999999</v>
      </c>
      <c r="Y32" s="127">
        <v>43.95</v>
      </c>
      <c r="Z32" s="127">
        <v>53.917999999999999</v>
      </c>
      <c r="AA32" s="127">
        <v>52.938000000000002</v>
      </c>
      <c r="AB32" s="127">
        <v>55.695999999999998</v>
      </c>
      <c r="AC32" s="127">
        <v>52.207999999999998</v>
      </c>
      <c r="AD32" s="127">
        <v>61.448</v>
      </c>
      <c r="AE32" s="127">
        <v>60.216000000000001</v>
      </c>
      <c r="AF32" s="127">
        <v>64.028000000000006</v>
      </c>
      <c r="AG32" s="127">
        <v>57.609000000000002</v>
      </c>
      <c r="AH32" s="127">
        <v>68.043999999999997</v>
      </c>
      <c r="AI32" s="127">
        <v>63.957000000000001</v>
      </c>
      <c r="AJ32" s="127">
        <v>65.802000000000007</v>
      </c>
      <c r="AK32" s="127">
        <v>58.715000000000003</v>
      </c>
      <c r="AL32" s="127">
        <v>69.162000000000006</v>
      </c>
      <c r="AM32" s="127">
        <v>62.518000000000001</v>
      </c>
      <c r="AN32" s="127">
        <v>60.442</v>
      </c>
      <c r="AO32" s="127">
        <v>54.146999999999998</v>
      </c>
      <c r="AP32" s="127">
        <v>65.823999999999998</v>
      </c>
      <c r="AQ32" s="127">
        <v>63.087000000000003</v>
      </c>
      <c r="AR32" s="127">
        <v>61.768000000000001</v>
      </c>
      <c r="AS32" s="127">
        <v>61.524000000000001</v>
      </c>
      <c r="AT32" s="127">
        <v>77.69</v>
      </c>
      <c r="AU32" s="127">
        <v>86.001999999999995</v>
      </c>
      <c r="AV32" s="127">
        <v>78.39</v>
      </c>
      <c r="AW32" s="127">
        <v>74.488</v>
      </c>
      <c r="AX32" s="127">
        <v>82.626000000000005</v>
      </c>
      <c r="AY32" s="127">
        <v>70.7</v>
      </c>
      <c r="AZ32" s="127">
        <v>69.42</v>
      </c>
      <c r="BA32" s="127">
        <v>65.462000000000003</v>
      </c>
      <c r="BB32" s="127">
        <v>72.341999999999999</v>
      </c>
      <c r="BC32" s="127">
        <v>68.046999999999997</v>
      </c>
      <c r="BD32" s="127">
        <v>66.028000000000006</v>
      </c>
      <c r="BE32" s="538">
        <v>70.712999999999994</v>
      </c>
      <c r="BF32" s="538">
        <v>81.974000000000004</v>
      </c>
      <c r="BG32" s="538">
        <v>74.034000000000006</v>
      </c>
      <c r="BH32" s="538">
        <v>75.635000000000005</v>
      </c>
      <c r="BI32" s="538">
        <v>73.066999999999993</v>
      </c>
      <c r="BJ32" s="538">
        <v>86.662999999999997</v>
      </c>
      <c r="BK32" s="538">
        <v>80.165000000000006</v>
      </c>
      <c r="BL32" s="538">
        <v>78.08</v>
      </c>
      <c r="BM32" s="538">
        <v>74.435000000000002</v>
      </c>
      <c r="BN32" s="538">
        <v>78.501999999999995</v>
      </c>
      <c r="BO32" s="538">
        <v>69.802999999999997</v>
      </c>
      <c r="BP32" s="538">
        <v>67.123000000000005</v>
      </c>
      <c r="BQ32" s="538">
        <v>64.875</v>
      </c>
      <c r="BR32" s="538">
        <v>70.332999999999998</v>
      </c>
      <c r="BS32" s="538"/>
      <c r="BT32" s="538"/>
      <c r="BV32" s="539"/>
      <c r="BW32" s="1118" t="s">
        <v>471</v>
      </c>
      <c r="CA32" s="1052"/>
      <c r="CB32" s="15"/>
      <c r="CC32" s="15"/>
      <c r="CD32" s="11"/>
      <c r="CE32" s="11"/>
      <c r="CF32" s="11"/>
      <c r="CG32" s="11"/>
    </row>
    <row r="33" spans="1:85">
      <c r="B33" s="114"/>
      <c r="C33" t="s">
        <v>472</v>
      </c>
      <c r="H33" s="128">
        <f t="shared" ref="H33:AI33" si="31">+H34-H32</f>
        <v>11.151000000000003</v>
      </c>
      <c r="I33" s="128">
        <f t="shared" si="31"/>
        <v>10.400999999999996</v>
      </c>
      <c r="J33" s="128">
        <f t="shared" si="31"/>
        <v>11.433</v>
      </c>
      <c r="K33" s="128">
        <f t="shared" si="31"/>
        <v>11.530000000000001</v>
      </c>
      <c r="L33" s="128">
        <f t="shared" si="31"/>
        <v>11.579999999999998</v>
      </c>
      <c r="M33" s="128">
        <f t="shared" si="31"/>
        <v>10.701000000000001</v>
      </c>
      <c r="N33" s="128">
        <f t="shared" si="31"/>
        <v>11.358999999999995</v>
      </c>
      <c r="O33" s="128">
        <f t="shared" si="31"/>
        <v>11.611999999999995</v>
      </c>
      <c r="P33" s="128">
        <f t="shared" si="31"/>
        <v>11.805</v>
      </c>
      <c r="Q33" s="128">
        <f t="shared" si="31"/>
        <v>11.386999999999993</v>
      </c>
      <c r="R33" s="128">
        <f t="shared" si="31"/>
        <v>12.337000000000003</v>
      </c>
      <c r="S33" s="128">
        <f t="shared" si="31"/>
        <v>12.306000000000004</v>
      </c>
      <c r="T33" s="128">
        <f t="shared" si="31"/>
        <v>12.530000000000001</v>
      </c>
      <c r="U33" s="128">
        <f t="shared" si="31"/>
        <v>12.374000000000002</v>
      </c>
      <c r="V33" s="128">
        <f t="shared" si="31"/>
        <v>13.037999999999997</v>
      </c>
      <c r="W33" s="128">
        <f t="shared" si="31"/>
        <v>12.886000000000003</v>
      </c>
      <c r="X33" s="128">
        <f t="shared" si="31"/>
        <v>13.305999999999997</v>
      </c>
      <c r="Y33" s="128">
        <f t="shared" si="31"/>
        <v>9.9159999999999968</v>
      </c>
      <c r="Z33" s="128">
        <f t="shared" si="31"/>
        <v>10.788999999999994</v>
      </c>
      <c r="AA33" s="128">
        <f t="shared" si="31"/>
        <v>10.629999999999995</v>
      </c>
      <c r="AB33" s="128">
        <f t="shared" si="31"/>
        <v>10.998000000000005</v>
      </c>
      <c r="AC33" s="128">
        <f t="shared" si="31"/>
        <v>10.713999999999999</v>
      </c>
      <c r="AD33" s="128">
        <f t="shared" si="31"/>
        <v>11.877000000000002</v>
      </c>
      <c r="AE33" s="128">
        <f t="shared" si="31"/>
        <v>11.619999999999997</v>
      </c>
      <c r="AF33" s="128">
        <f t="shared" si="31"/>
        <v>12.197999999999993</v>
      </c>
      <c r="AG33" s="128">
        <f>+AG34-AG32</f>
        <v>11.544999999999995</v>
      </c>
      <c r="AH33" s="128">
        <f>+AH34-AH32</f>
        <v>12.51100000000001</v>
      </c>
      <c r="AI33" s="128">
        <f t="shared" si="31"/>
        <v>12.356999999999992</v>
      </c>
      <c r="AJ33" s="128">
        <f>+AJ34-AJ32</f>
        <v>13.119</v>
      </c>
      <c r="AK33" s="128">
        <f>+AK34-AK32</f>
        <v>12.947000000000003</v>
      </c>
      <c r="AL33" s="128">
        <f t="shared" ref="AL33:BL33" si="32">+AL34-AL32</f>
        <v>14.193999999999988</v>
      </c>
      <c r="AM33" s="128">
        <f t="shared" si="32"/>
        <v>13.769000000000005</v>
      </c>
      <c r="AN33" s="128">
        <f t="shared" si="32"/>
        <v>14.273000000000003</v>
      </c>
      <c r="AO33" s="128">
        <f t="shared" si="32"/>
        <v>13.847000000000001</v>
      </c>
      <c r="AP33" s="128">
        <f t="shared" si="32"/>
        <v>15.802999999999997</v>
      </c>
      <c r="AQ33" s="128">
        <f t="shared" si="32"/>
        <v>15.146999999999991</v>
      </c>
      <c r="AR33" s="128">
        <f t="shared" si="32"/>
        <v>15.397999999999996</v>
      </c>
      <c r="AS33" s="128">
        <f t="shared" si="32"/>
        <v>15.001000000000005</v>
      </c>
      <c r="AT33" s="128">
        <f t="shared" si="32"/>
        <v>17.823999999999998</v>
      </c>
      <c r="AU33" s="128">
        <f t="shared" si="32"/>
        <v>17.909000000000006</v>
      </c>
      <c r="AV33" s="128">
        <f t="shared" si="32"/>
        <v>18.126999999999995</v>
      </c>
      <c r="AW33" s="128">
        <f t="shared" si="32"/>
        <v>18.016999999999996</v>
      </c>
      <c r="AX33" s="128">
        <f t="shared" si="32"/>
        <v>20.335999999999999</v>
      </c>
      <c r="AY33" s="128">
        <f t="shared" si="32"/>
        <v>19.546999999999997</v>
      </c>
      <c r="AZ33" s="128">
        <f t="shared" si="32"/>
        <v>19.091999999999999</v>
      </c>
      <c r="BA33" s="128">
        <f t="shared" si="32"/>
        <v>18.382999999999996</v>
      </c>
      <c r="BB33" s="128">
        <f t="shared" si="32"/>
        <v>20.593000000000004</v>
      </c>
      <c r="BC33" s="128">
        <f t="shared" si="32"/>
        <v>19.492000000000004</v>
      </c>
      <c r="BD33" s="128">
        <f t="shared" si="32"/>
        <v>18.181999999999988</v>
      </c>
      <c r="BE33" s="540">
        <f t="shared" si="32"/>
        <v>18.212000000000003</v>
      </c>
      <c r="BF33" s="540">
        <f t="shared" si="32"/>
        <v>19.676000000000002</v>
      </c>
      <c r="BG33" s="540">
        <f t="shared" si="32"/>
        <v>18.691999999999993</v>
      </c>
      <c r="BH33" s="540">
        <f t="shared" si="32"/>
        <v>17.680999999999997</v>
      </c>
      <c r="BI33" s="540">
        <f t="shared" si="32"/>
        <v>18.113000000000014</v>
      </c>
      <c r="BJ33" s="540">
        <f t="shared" si="32"/>
        <v>19.850999999999999</v>
      </c>
      <c r="BK33" s="540">
        <f t="shared" si="32"/>
        <v>18.819999999999993</v>
      </c>
      <c r="BL33" s="540">
        <f t="shared" si="32"/>
        <v>17.903999999999996</v>
      </c>
      <c r="BM33" s="540">
        <f t="shared" ref="BM33:BP33" si="33">+BM34-BM32</f>
        <v>18.527999999999992</v>
      </c>
      <c r="BN33" s="540">
        <f t="shared" si="33"/>
        <v>20.167000000000002</v>
      </c>
      <c r="BO33" s="540">
        <f t="shared" si="33"/>
        <v>18.972000000000008</v>
      </c>
      <c r="BP33" s="540">
        <f t="shared" si="33"/>
        <v>17.882999999999996</v>
      </c>
      <c r="BQ33" s="540">
        <f t="shared" ref="BQ33:BR33" si="34">+BQ34-BQ32</f>
        <v>18.400000000000006</v>
      </c>
      <c r="BR33" s="540">
        <f t="shared" si="34"/>
        <v>19.540000000000006</v>
      </c>
      <c r="BS33" s="540">
        <f t="shared" ref="BS33:BT33" si="35">+BS34-BS32</f>
        <v>0</v>
      </c>
      <c r="BT33" s="540">
        <f t="shared" si="35"/>
        <v>0</v>
      </c>
      <c r="BW33" s="1118"/>
      <c r="CA33" s="1052"/>
      <c r="CB33" s="15"/>
      <c r="CC33" s="15"/>
      <c r="CD33" s="11"/>
      <c r="CE33" s="11"/>
      <c r="CF33" s="11"/>
      <c r="CG33" s="11"/>
    </row>
    <row r="34" spans="1:85">
      <c r="B34" s="114"/>
      <c r="C34" t="s">
        <v>251</v>
      </c>
      <c r="H34" s="127">
        <v>55.627000000000002</v>
      </c>
      <c r="I34" s="127">
        <v>51.531999999999996</v>
      </c>
      <c r="J34" s="127">
        <v>58.905000000000001</v>
      </c>
      <c r="K34" s="127">
        <v>61.676000000000002</v>
      </c>
      <c r="L34" s="127">
        <v>60.43</v>
      </c>
      <c r="M34" s="127">
        <v>55.441000000000003</v>
      </c>
      <c r="N34" s="127">
        <v>59.201999999999998</v>
      </c>
      <c r="O34" s="127">
        <v>53.430999999999997</v>
      </c>
      <c r="P34" s="127">
        <v>53.472000000000001</v>
      </c>
      <c r="Q34" s="127">
        <v>51.601999999999997</v>
      </c>
      <c r="R34" s="127">
        <v>58.237000000000002</v>
      </c>
      <c r="S34" s="127">
        <v>56.203000000000003</v>
      </c>
      <c r="T34" s="127">
        <v>56.015000000000001</v>
      </c>
      <c r="U34" s="127">
        <v>52.462000000000003</v>
      </c>
      <c r="V34" s="127">
        <v>61.067</v>
      </c>
      <c r="W34" s="127">
        <v>57.578000000000003</v>
      </c>
      <c r="X34" s="127">
        <v>60.290999999999997</v>
      </c>
      <c r="Y34" s="127">
        <v>53.866</v>
      </c>
      <c r="Z34" s="127">
        <v>64.706999999999994</v>
      </c>
      <c r="AA34" s="127">
        <v>63.567999999999998</v>
      </c>
      <c r="AB34" s="127">
        <v>66.694000000000003</v>
      </c>
      <c r="AC34" s="127">
        <v>62.921999999999997</v>
      </c>
      <c r="AD34" s="127">
        <v>73.325000000000003</v>
      </c>
      <c r="AE34" s="127">
        <v>71.835999999999999</v>
      </c>
      <c r="AF34" s="127">
        <v>76.225999999999999</v>
      </c>
      <c r="AG34" s="127">
        <v>69.153999999999996</v>
      </c>
      <c r="AH34" s="127">
        <v>80.555000000000007</v>
      </c>
      <c r="AI34" s="127">
        <v>76.313999999999993</v>
      </c>
      <c r="AJ34" s="127">
        <v>78.921000000000006</v>
      </c>
      <c r="AK34" s="127">
        <v>71.662000000000006</v>
      </c>
      <c r="AL34" s="127">
        <v>83.355999999999995</v>
      </c>
      <c r="AM34" s="127">
        <v>76.287000000000006</v>
      </c>
      <c r="AN34" s="127">
        <v>74.715000000000003</v>
      </c>
      <c r="AO34" s="127">
        <v>67.994</v>
      </c>
      <c r="AP34" s="127">
        <v>81.626999999999995</v>
      </c>
      <c r="AQ34" s="127">
        <v>78.233999999999995</v>
      </c>
      <c r="AR34" s="127">
        <v>77.165999999999997</v>
      </c>
      <c r="AS34" s="127">
        <v>76.525000000000006</v>
      </c>
      <c r="AT34" s="127">
        <v>95.513999999999996</v>
      </c>
      <c r="AU34" s="127">
        <v>103.911</v>
      </c>
      <c r="AV34" s="127">
        <v>96.516999999999996</v>
      </c>
      <c r="AW34" s="127">
        <v>92.504999999999995</v>
      </c>
      <c r="AX34" s="127">
        <v>102.962</v>
      </c>
      <c r="AY34" s="127">
        <v>90.247</v>
      </c>
      <c r="AZ34" s="127">
        <v>88.512</v>
      </c>
      <c r="BA34" s="127">
        <v>83.844999999999999</v>
      </c>
      <c r="BB34" s="127">
        <v>92.935000000000002</v>
      </c>
      <c r="BC34" s="127">
        <v>87.539000000000001</v>
      </c>
      <c r="BD34" s="127">
        <v>84.21</v>
      </c>
      <c r="BE34" s="538">
        <v>88.924999999999997</v>
      </c>
      <c r="BF34" s="538">
        <v>101.65</v>
      </c>
      <c r="BG34" s="538">
        <v>92.725999999999999</v>
      </c>
      <c r="BH34" s="538">
        <v>93.316000000000003</v>
      </c>
      <c r="BI34" s="538">
        <v>91.18</v>
      </c>
      <c r="BJ34" s="538">
        <v>106.514</v>
      </c>
      <c r="BK34" s="538">
        <v>98.984999999999999</v>
      </c>
      <c r="BL34" s="538">
        <v>95.983999999999995</v>
      </c>
      <c r="BM34" s="538">
        <v>92.962999999999994</v>
      </c>
      <c r="BN34" s="538">
        <v>98.668999999999997</v>
      </c>
      <c r="BO34" s="538">
        <v>88.775000000000006</v>
      </c>
      <c r="BP34" s="538">
        <v>85.006</v>
      </c>
      <c r="BQ34" s="538">
        <v>83.275000000000006</v>
      </c>
      <c r="BR34" s="538">
        <v>89.873000000000005</v>
      </c>
      <c r="BS34" s="538"/>
      <c r="BT34" s="538"/>
      <c r="BV34" s="539"/>
      <c r="BW34" s="1118" t="s">
        <v>471</v>
      </c>
      <c r="CA34" s="1052"/>
      <c r="CB34" s="15"/>
      <c r="CC34" s="15"/>
      <c r="CD34" s="11"/>
      <c r="CE34" s="11"/>
      <c r="CF34" s="11"/>
      <c r="CG34" s="11"/>
    </row>
    <row r="35" spans="1:85">
      <c r="B35" s="114"/>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536"/>
      <c r="BF35" s="536"/>
      <c r="BG35" s="536"/>
      <c r="BH35" s="536"/>
      <c r="BI35" s="536"/>
      <c r="BJ35" s="536"/>
      <c r="BK35" s="536"/>
      <c r="BL35" s="536"/>
      <c r="BM35" s="536"/>
      <c r="BN35" s="536"/>
      <c r="BO35" s="536"/>
      <c r="BP35" s="536"/>
      <c r="BQ35" s="536"/>
      <c r="BR35" s="536"/>
      <c r="BS35" s="536"/>
      <c r="BT35" s="536"/>
      <c r="CA35" s="1052"/>
      <c r="CB35" s="15"/>
      <c r="CC35" s="15"/>
      <c r="CD35" s="11"/>
      <c r="CE35" s="11"/>
      <c r="CF35" s="11"/>
      <c r="CG35" s="11"/>
    </row>
    <row r="36" spans="1:85">
      <c r="B36" s="115" t="s">
        <v>473</v>
      </c>
      <c r="H36" s="118">
        <v>56290</v>
      </c>
      <c r="I36" s="118">
        <v>51281</v>
      </c>
      <c r="J36" s="118">
        <v>59826</v>
      </c>
      <c r="K36" s="118">
        <v>65067</v>
      </c>
      <c r="L36" s="118">
        <v>61361</v>
      </c>
      <c r="M36" s="118">
        <v>56145</v>
      </c>
      <c r="N36" s="118">
        <v>60583</v>
      </c>
      <c r="O36" s="118">
        <v>53506</v>
      </c>
      <c r="P36" s="118">
        <v>52324</v>
      </c>
      <c r="Q36" s="118">
        <v>50356</v>
      </c>
      <c r="R36" s="118">
        <v>57622</v>
      </c>
      <c r="S36" s="118">
        <v>53997</v>
      </c>
      <c r="T36" s="118">
        <v>52642</v>
      </c>
      <c r="U36" s="118">
        <v>49320</v>
      </c>
      <c r="V36" s="118">
        <v>59569</v>
      </c>
      <c r="W36" s="118">
        <v>55146</v>
      </c>
      <c r="X36" s="118">
        <v>56949</v>
      </c>
      <c r="Y36" s="118">
        <v>55677</v>
      </c>
      <c r="Z36" s="118">
        <v>68097</v>
      </c>
      <c r="AA36" s="118">
        <v>66658</v>
      </c>
      <c r="AB36" s="118">
        <v>69627</v>
      </c>
      <c r="AC36" s="118">
        <v>66376</v>
      </c>
      <c r="AD36" s="118">
        <v>77384</v>
      </c>
      <c r="AE36" s="118">
        <v>75374</v>
      </c>
      <c r="AF36" s="118">
        <v>79110</v>
      </c>
      <c r="AG36" s="118">
        <v>70642</v>
      </c>
      <c r="AH36" s="118">
        <v>84033</v>
      </c>
      <c r="AI36" s="118">
        <v>78056</v>
      </c>
      <c r="AJ36" s="118">
        <v>80068</v>
      </c>
      <c r="AK36" s="118">
        <v>70821</v>
      </c>
      <c r="AL36" s="118">
        <v>83754</v>
      </c>
      <c r="AM36" s="118">
        <v>74892</v>
      </c>
      <c r="AN36" s="118">
        <v>72122</v>
      </c>
      <c r="AO36" s="118">
        <v>64242</v>
      </c>
      <c r="AP36" s="118">
        <v>78664</v>
      </c>
      <c r="AQ36" s="118">
        <v>73434</v>
      </c>
      <c r="AR36" s="118">
        <v>71469</v>
      </c>
      <c r="AS36" s="118">
        <v>71318</v>
      </c>
      <c r="AT36" s="118">
        <v>94044</v>
      </c>
      <c r="AU36" s="118">
        <v>100199</v>
      </c>
      <c r="AV36" s="118">
        <v>87307</v>
      </c>
      <c r="AW36" s="118">
        <v>82667</v>
      </c>
      <c r="AX36" s="118">
        <v>90071</v>
      </c>
      <c r="AY36" s="118">
        <v>75914</v>
      </c>
      <c r="AZ36" s="118">
        <v>75203</v>
      </c>
      <c r="BA36" s="118">
        <v>71324</v>
      </c>
      <c r="BB36" s="118">
        <v>76946</v>
      </c>
      <c r="BC36" s="118">
        <v>71104</v>
      </c>
      <c r="BD36" s="118">
        <v>72544</v>
      </c>
      <c r="BE36" s="529">
        <v>84561</v>
      </c>
      <c r="BF36" s="529">
        <v>96953</v>
      </c>
      <c r="BG36" s="529">
        <v>88589</v>
      </c>
      <c r="BH36" s="529">
        <v>88757</v>
      </c>
      <c r="BI36" s="529">
        <v>86587</v>
      </c>
      <c r="BJ36" s="529">
        <v>100768</v>
      </c>
      <c r="BK36" s="529">
        <v>93377</v>
      </c>
      <c r="BL36" s="529">
        <v>89664</v>
      </c>
      <c r="BM36" s="529">
        <v>86415</v>
      </c>
      <c r="BN36" s="529">
        <v>89850</v>
      </c>
      <c r="BO36" s="529">
        <v>79379</v>
      </c>
      <c r="BP36" s="529">
        <v>76143</v>
      </c>
      <c r="BQ36" s="529">
        <v>74054</v>
      </c>
      <c r="BR36" s="529">
        <v>78904</v>
      </c>
      <c r="BS36" s="529"/>
      <c r="BT36" s="529"/>
      <c r="BW36" s="1118" t="s">
        <v>466</v>
      </c>
      <c r="CA36" s="1052"/>
      <c r="CB36" s="15"/>
      <c r="CC36" s="15"/>
      <c r="CD36" s="11"/>
      <c r="CE36" s="11"/>
      <c r="CF36" s="11"/>
      <c r="CG36" s="11"/>
    </row>
    <row r="37" spans="1:85">
      <c r="B37" s="115" t="s">
        <v>699</v>
      </c>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v>83050</v>
      </c>
      <c r="BB37" s="118">
        <v>89316</v>
      </c>
      <c r="BC37" s="118">
        <v>81372</v>
      </c>
      <c r="BD37" s="118">
        <v>79282</v>
      </c>
      <c r="BE37" s="529">
        <v>84561</v>
      </c>
      <c r="BF37" s="529">
        <v>96953</v>
      </c>
      <c r="BG37" s="529">
        <v>88589</v>
      </c>
      <c r="BH37" s="529">
        <v>88757</v>
      </c>
      <c r="BI37" s="1010"/>
      <c r="BJ37" s="1010"/>
      <c r="BK37" s="1010"/>
      <c r="BL37" s="1010"/>
      <c r="BM37" s="1010"/>
      <c r="BN37" s="1010"/>
      <c r="BO37" s="1010"/>
      <c r="BP37" s="1010"/>
      <c r="BQ37" s="1010"/>
      <c r="BR37" s="1010"/>
      <c r="BS37" s="1010"/>
      <c r="BT37" s="1010"/>
      <c r="CA37" s="1052"/>
      <c r="CB37" s="15"/>
      <c r="CC37" s="15"/>
      <c r="CD37" s="11"/>
      <c r="CE37" s="11"/>
      <c r="CF37" s="11"/>
      <c r="CG37" s="11"/>
    </row>
    <row r="38" spans="1:85">
      <c r="B38" s="114"/>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536"/>
      <c r="BF38" s="536"/>
      <c r="BG38" s="536"/>
      <c r="BH38" s="536"/>
      <c r="BI38" s="536"/>
      <c r="BJ38" s="536"/>
      <c r="BK38" s="536"/>
      <c r="BL38" s="536"/>
      <c r="BM38" s="536"/>
      <c r="BN38" s="536"/>
      <c r="BO38" s="536"/>
      <c r="BP38" s="536"/>
      <c r="BQ38" s="536"/>
      <c r="BR38" s="536"/>
      <c r="BS38" s="536"/>
      <c r="BT38" s="536"/>
      <c r="CA38" s="1052"/>
      <c r="CB38" s="15"/>
      <c r="CC38" s="15"/>
      <c r="CD38" s="11"/>
      <c r="CE38" s="11"/>
      <c r="CF38" s="11"/>
      <c r="CG38" s="11"/>
    </row>
    <row r="39" spans="1:85">
      <c r="B39" s="115" t="s">
        <v>474</v>
      </c>
      <c r="H39" s="125"/>
      <c r="I39" s="125">
        <f t="shared" ref="I39:Z39" si="36">+H43</f>
        <v>656791.08924694662</v>
      </c>
      <c r="J39" s="125">
        <f t="shared" si="36"/>
        <v>658523.32924694661</v>
      </c>
      <c r="K39" s="125">
        <f t="shared" si="36"/>
        <v>663616.57124694658</v>
      </c>
      <c r="L39" s="125">
        <f t="shared" si="36"/>
        <v>666182.19024694653</v>
      </c>
      <c r="M39" s="125">
        <f t="shared" si="36"/>
        <v>664955.34824694647</v>
      </c>
      <c r="N39" s="125">
        <f t="shared" si="36"/>
        <v>664423.22324694647</v>
      </c>
      <c r="O39" s="125">
        <f t="shared" si="36"/>
        <v>668024.07424694637</v>
      </c>
      <c r="P39" s="125">
        <f t="shared" si="36"/>
        <v>669131.60724694643</v>
      </c>
      <c r="Q39" s="125">
        <f t="shared" si="36"/>
        <v>670412.02424694644</v>
      </c>
      <c r="R39" s="125">
        <f t="shared" si="36"/>
        <v>670414.47624694649</v>
      </c>
      <c r="S39" s="125">
        <f t="shared" si="36"/>
        <v>674355.1872469465</v>
      </c>
      <c r="T39" s="125">
        <f t="shared" si="36"/>
        <v>676360.47624694661</v>
      </c>
      <c r="U39" s="125">
        <f t="shared" si="36"/>
        <v>674868.16624694667</v>
      </c>
      <c r="V39" s="125">
        <f t="shared" si="36"/>
        <v>673077.89624694665</v>
      </c>
      <c r="W39" s="125">
        <f t="shared" si="36"/>
        <v>681978.49924694665</v>
      </c>
      <c r="X39" s="125">
        <f t="shared" si="36"/>
        <v>681177.64424694667</v>
      </c>
      <c r="Y39" s="125">
        <f t="shared" si="36"/>
        <v>681927.03324694664</v>
      </c>
      <c r="Z39" s="125">
        <f t="shared" si="36"/>
        <v>678516.81024694664</v>
      </c>
      <c r="AA39" s="125">
        <f>+Z43</f>
        <v>688163.27224694658</v>
      </c>
      <c r="AB39" s="125">
        <f t="shared" ref="AB39:AN39" si="37">+AA43</f>
        <v>689316.12124694663</v>
      </c>
      <c r="AC39" s="125">
        <f>+AB43</f>
        <v>693194.29324694653</v>
      </c>
      <c r="AD39" s="125">
        <f>+AC43</f>
        <v>704631.99124694662</v>
      </c>
      <c r="AE39" s="125">
        <f t="shared" si="37"/>
        <v>714756.2902469465</v>
      </c>
      <c r="AF39" s="125">
        <f t="shared" si="37"/>
        <v>722162.13224694645</v>
      </c>
      <c r="AG39" s="125">
        <f t="shared" si="37"/>
        <v>728384.99624694651</v>
      </c>
      <c r="AH39" s="125">
        <f t="shared" si="37"/>
        <v>733756.49672787962</v>
      </c>
      <c r="AI39" s="125">
        <f t="shared" si="37"/>
        <v>746427.28072787961</v>
      </c>
      <c r="AJ39" s="125">
        <f t="shared" si="37"/>
        <v>757410.70472787961</v>
      </c>
      <c r="AK39" s="125">
        <f t="shared" si="37"/>
        <v>763831.46372787969</v>
      </c>
      <c r="AL39" s="125">
        <f t="shared" si="37"/>
        <v>765732.07772787963</v>
      </c>
      <c r="AM39" s="125">
        <f t="shared" si="37"/>
        <v>773604.15872787964</v>
      </c>
      <c r="AN39" s="125">
        <f t="shared" si="37"/>
        <v>781275.80972787959</v>
      </c>
      <c r="AO39" s="125">
        <f>+AN43</f>
        <v>781041.13672787952</v>
      </c>
      <c r="AP39" s="125">
        <f>+AO43</f>
        <v>785552.00372787961</v>
      </c>
      <c r="AQ39" s="125">
        <f t="shared" ref="AQ39:BD39" si="38">+AP43</f>
        <v>796375.73072787968</v>
      </c>
      <c r="AR39" s="125">
        <f t="shared" si="38"/>
        <v>801494.25572787959</v>
      </c>
      <c r="AS39" s="125">
        <f t="shared" si="38"/>
        <v>808262.09872787958</v>
      </c>
      <c r="AT39" s="125">
        <f t="shared" si="38"/>
        <v>804512.37872787961</v>
      </c>
      <c r="AU39" s="125">
        <f t="shared" si="38"/>
        <v>821997.5207278796</v>
      </c>
      <c r="AV39" s="125">
        <f t="shared" si="38"/>
        <v>840226.90372787963</v>
      </c>
      <c r="AW39" s="125">
        <f t="shared" si="38"/>
        <v>858818.32872787968</v>
      </c>
      <c r="AX39" s="125">
        <f t="shared" si="38"/>
        <v>869642.98472787964</v>
      </c>
      <c r="AY39" s="125">
        <f t="shared" si="38"/>
        <v>886519.06172787957</v>
      </c>
      <c r="AZ39" s="125">
        <f t="shared" si="38"/>
        <v>894017.55772787961</v>
      </c>
      <c r="BA39" s="125">
        <f t="shared" si="38"/>
        <v>903403.8757278797</v>
      </c>
      <c r="BB39" s="125">
        <f t="shared" si="38"/>
        <v>909631.79072787962</v>
      </c>
      <c r="BC39" s="125">
        <f t="shared" si="38"/>
        <v>914437.52872787963</v>
      </c>
      <c r="BD39" s="125">
        <f t="shared" si="38"/>
        <v>912784.80172787968</v>
      </c>
      <c r="BE39" s="536">
        <f t="shared" ref="BE39" si="39">+BD43</f>
        <v>916807.8957278796</v>
      </c>
      <c r="BF39" s="536">
        <f t="shared" ref="BF39" si="40">+BE43</f>
        <v>922845.26072787959</v>
      </c>
      <c r="BG39" s="536">
        <f t="shared" ref="BG39" si="41">+BF43</f>
        <v>934866.59272787953</v>
      </c>
      <c r="BH39" s="536">
        <f t="shared" ref="BH39" si="42">+BG43</f>
        <v>937856.06472787948</v>
      </c>
      <c r="BI39" s="536">
        <f>+BH43</f>
        <v>944609.4377278795</v>
      </c>
      <c r="BJ39" s="536">
        <f t="shared" ref="BJ39" si="43">+BI43</f>
        <v>947100.80972787947</v>
      </c>
      <c r="BK39" s="536">
        <f t="shared" ref="BK39" si="44">+BJ43</f>
        <v>950880.11772787955</v>
      </c>
      <c r="BL39" s="536">
        <f t="shared" ref="BL39" si="45">+BK43</f>
        <v>957811.0137278795</v>
      </c>
      <c r="BM39" s="536">
        <f>+BL43</f>
        <v>953583.10072787956</v>
      </c>
      <c r="BN39" s="536">
        <f t="shared" ref="BN39" si="46">+BM43</f>
        <v>956981.32372787944</v>
      </c>
      <c r="BO39" s="536">
        <f t="shared" ref="BO39" si="47">+BN43</f>
        <v>968311.79672787944</v>
      </c>
      <c r="BP39" s="536">
        <f t="shared" ref="BP39:BT39" si="48">+BO43</f>
        <v>967023.53872787941</v>
      </c>
      <c r="BQ39" s="536">
        <f t="shared" si="48"/>
        <v>967612.22472787951</v>
      </c>
      <c r="BR39" s="536">
        <f t="shared" si="48"/>
        <v>965671.36772787943</v>
      </c>
      <c r="BS39" s="536">
        <f t="shared" si="48"/>
        <v>967904.51272787945</v>
      </c>
      <c r="BT39" s="536">
        <f t="shared" si="48"/>
        <v>967904.51272787945</v>
      </c>
      <c r="CA39" s="1052"/>
      <c r="CB39" s="15"/>
      <c r="CC39" s="15"/>
      <c r="CD39" s="11"/>
      <c r="CE39" s="11"/>
      <c r="CF39" s="11"/>
      <c r="CG39" s="11"/>
    </row>
    <row r="40" spans="1:85">
      <c r="C40" t="s">
        <v>475</v>
      </c>
      <c r="H40" s="118">
        <v>18249.55</v>
      </c>
      <c r="I40" s="118">
        <v>16734.841</v>
      </c>
      <c r="J40" s="118">
        <v>18973.855</v>
      </c>
      <c r="K40" s="118">
        <v>18885.149000000001</v>
      </c>
      <c r="L40" s="118">
        <v>18551.851999999999</v>
      </c>
      <c r="M40" s="118">
        <v>16983.073</v>
      </c>
      <c r="N40" s="118">
        <v>18307.058000000001</v>
      </c>
      <c r="O40" s="118">
        <v>16344.751</v>
      </c>
      <c r="P40" s="118">
        <v>16417.687000000002</v>
      </c>
      <c r="Q40" s="118">
        <v>15709.428</v>
      </c>
      <c r="R40" s="118">
        <v>17798.251</v>
      </c>
      <c r="S40" s="118">
        <v>17055.506000000001</v>
      </c>
      <c r="T40" s="118">
        <v>17219.348999999998</v>
      </c>
      <c r="U40" s="118">
        <v>15747.556</v>
      </c>
      <c r="V40" s="118">
        <v>18493.75</v>
      </c>
      <c r="W40" s="118">
        <v>17337.154999999999</v>
      </c>
      <c r="X40" s="118">
        <v>17995.848999999998</v>
      </c>
      <c r="Y40" s="118">
        <v>17181.437000000002</v>
      </c>
      <c r="Z40" s="118">
        <v>20585.226999999999</v>
      </c>
      <c r="AA40" s="118">
        <v>20320.994999999999</v>
      </c>
      <c r="AB40" s="118">
        <v>21023.118999999999</v>
      </c>
      <c r="AC40" s="118">
        <v>19789.964</v>
      </c>
      <c r="AD40" s="118">
        <v>23145.288</v>
      </c>
      <c r="AE40" s="118">
        <v>22774.686000000002</v>
      </c>
      <c r="AF40" s="118">
        <v>24159.383000000002</v>
      </c>
      <c r="AG40" s="118">
        <v>21628.347071657401</v>
      </c>
      <c r="AH40" s="118">
        <v>25457.670999999998</v>
      </c>
      <c r="AI40" s="118">
        <v>24034.678</v>
      </c>
      <c r="AJ40" s="118">
        <v>24514.566999999999</v>
      </c>
      <c r="AK40" s="118">
        <v>22258.325000000001</v>
      </c>
      <c r="AL40" s="118">
        <v>26000.506000000001</v>
      </c>
      <c r="AM40" s="118">
        <v>23727.705000000002</v>
      </c>
      <c r="AN40" s="118">
        <v>23222.433000000001</v>
      </c>
      <c r="AO40" s="118">
        <v>20925.147000000001</v>
      </c>
      <c r="AP40" s="118">
        <v>25300.073</v>
      </c>
      <c r="AQ40" s="118">
        <v>24086.673999999999</v>
      </c>
      <c r="AR40" s="118">
        <v>23682.258999999998</v>
      </c>
      <c r="AS40" s="118">
        <v>23221.036</v>
      </c>
      <c r="AT40" s="118">
        <v>27754.115000000002</v>
      </c>
      <c r="AU40" s="118">
        <v>30103.974999999999</v>
      </c>
      <c r="AV40" s="118">
        <v>28357.184000000001</v>
      </c>
      <c r="AW40" s="118">
        <v>26642.703000000001</v>
      </c>
      <c r="AX40" s="118">
        <v>29981.013999999999</v>
      </c>
      <c r="AY40" s="118">
        <v>26219.341</v>
      </c>
      <c r="AZ40" s="118">
        <v>25678.069</v>
      </c>
      <c r="BA40" s="118">
        <v>24772.595000000001</v>
      </c>
      <c r="BB40" s="118">
        <v>27650.794999999998</v>
      </c>
      <c r="BC40" s="118">
        <v>26049.071</v>
      </c>
      <c r="BD40" s="118">
        <v>25349.362000000001</v>
      </c>
      <c r="BE40" s="529">
        <v>28124.280999999999</v>
      </c>
      <c r="BF40" s="529">
        <v>32202.974999999999</v>
      </c>
      <c r="BG40" s="529">
        <v>29452.381000000001</v>
      </c>
      <c r="BH40" s="529">
        <v>29322.025000000001</v>
      </c>
      <c r="BI40" s="529">
        <v>28725.271000000001</v>
      </c>
      <c r="BJ40" s="529">
        <v>33154.934999999998</v>
      </c>
      <c r="BK40" s="529">
        <v>30792.542000000001</v>
      </c>
      <c r="BL40" s="529">
        <f>29560.274</f>
        <v>29560.274000000001</v>
      </c>
      <c r="BM40" s="529">
        <v>28454.562999999998</v>
      </c>
      <c r="BN40" s="529">
        <v>30292.181</v>
      </c>
      <c r="BO40" s="529">
        <v>27066.787</v>
      </c>
      <c r="BP40" s="529">
        <v>26068.202000000001</v>
      </c>
      <c r="BQ40" s="529">
        <v>25677.741999999998</v>
      </c>
      <c r="BR40" s="529">
        <v>27736.51</v>
      </c>
      <c r="BS40" s="529"/>
      <c r="BT40" s="529"/>
      <c r="BW40" s="1118" t="s">
        <v>476</v>
      </c>
      <c r="CA40" s="1052"/>
      <c r="CB40" s="15"/>
      <c r="CC40" s="15"/>
      <c r="CD40" s="11"/>
      <c r="CE40" s="11"/>
      <c r="CF40" s="11"/>
      <c r="CG40" s="11"/>
    </row>
    <row r="41" spans="1:85">
      <c r="C41" t="s">
        <v>477</v>
      </c>
      <c r="H41" s="118">
        <v>-18104.891</v>
      </c>
      <c r="I41" s="118">
        <v>-17246.616000000002</v>
      </c>
      <c r="J41" s="118">
        <v>-14723.888000000001</v>
      </c>
      <c r="K41" s="118">
        <v>-16221.098</v>
      </c>
      <c r="L41" s="118">
        <v>-18759.662</v>
      </c>
      <c r="M41" s="118">
        <v>-16307.195</v>
      </c>
      <c r="N41" s="118">
        <v>-14322.324000000001</v>
      </c>
      <c r="O41" s="118">
        <v>-15566.022000000001</v>
      </c>
      <c r="P41" s="118">
        <v>-15397.583000000001</v>
      </c>
      <c r="Q41" s="118">
        <v>-14917.129000000001</v>
      </c>
      <c r="R41" s="118">
        <v>-13138.566000000001</v>
      </c>
      <c r="S41" s="118">
        <v>-14346.276</v>
      </c>
      <c r="T41" s="118">
        <v>-15328.504000000001</v>
      </c>
      <c r="U41" s="118">
        <v>-14159.856</v>
      </c>
      <c r="V41" s="118">
        <v>-12758.884</v>
      </c>
      <c r="W41" s="118">
        <v>-13866.346</v>
      </c>
      <c r="X41" s="118">
        <v>-14176.915000000001</v>
      </c>
      <c r="Y41" s="118">
        <v>-13344.261</v>
      </c>
      <c r="Z41" s="118">
        <v>-12064</v>
      </c>
      <c r="AA41" s="118">
        <v>-13659.24</v>
      </c>
      <c r="AB41" s="118">
        <v>-14512.537</v>
      </c>
      <c r="AC41" s="118">
        <v>-13814.066000000001</v>
      </c>
      <c r="AD41" s="118">
        <v>-12699.504999999999</v>
      </c>
      <c r="AE41" s="118">
        <v>-14407.157999999999</v>
      </c>
      <c r="AF41" s="118">
        <v>-16317.662</v>
      </c>
      <c r="AG41" s="118">
        <v>-16703.952590724301</v>
      </c>
      <c r="AH41" s="118">
        <v>-14993.608</v>
      </c>
      <c r="AI41" s="118">
        <v>-16331.398999999999</v>
      </c>
      <c r="AJ41" s="118">
        <v>-17928.755000000001</v>
      </c>
      <c r="AK41" s="118">
        <v>-17787.879000000001</v>
      </c>
      <c r="AL41" s="118">
        <v>-16340.532999999999</v>
      </c>
      <c r="AM41" s="118">
        <v>-17637.763999999999</v>
      </c>
      <c r="AN41" s="118">
        <v>-18525.008000000002</v>
      </c>
      <c r="AO41" s="118">
        <v>-18383.058000000001</v>
      </c>
      <c r="AP41" s="118">
        <v>-16512.114000000001</v>
      </c>
      <c r="AQ41" s="118">
        <v>-17739.687000000002</v>
      </c>
      <c r="AR41" s="118">
        <v>-18884.252</v>
      </c>
      <c r="AS41" s="118">
        <v>-18294.453000000001</v>
      </c>
      <c r="AT41" s="118">
        <v>-14314.802</v>
      </c>
      <c r="AU41" s="118">
        <v>-13733.337</v>
      </c>
      <c r="AV41" s="118">
        <v>-14505.804</v>
      </c>
      <c r="AW41" s="118">
        <v>-17239.903999999999</v>
      </c>
      <c r="AX41" s="118">
        <v>-14706.453</v>
      </c>
      <c r="AY41" s="118">
        <v>-16241.037</v>
      </c>
      <c r="AZ41" s="118">
        <v>-16610.467000000001</v>
      </c>
      <c r="BA41" s="118">
        <v>-19786.898000000001</v>
      </c>
      <c r="BB41" s="118">
        <v>-19297.931</v>
      </c>
      <c r="BC41" s="118">
        <v>-21032.63</v>
      </c>
      <c r="BD41" s="118">
        <v>-22776.177</v>
      </c>
      <c r="BE41" s="529">
        <v>-22210.449000000001</v>
      </c>
      <c r="BF41" s="529">
        <v>-22582.940999999999</v>
      </c>
      <c r="BG41" s="529">
        <v>-24143.098999999998</v>
      </c>
      <c r="BH41" s="529">
        <v>-25293.082999999999</v>
      </c>
      <c r="BI41" s="529">
        <v>-23322.519</v>
      </c>
      <c r="BJ41" s="529">
        <v>-28241.278999999999</v>
      </c>
      <c r="BK41" s="529">
        <v>-25263.687000000002</v>
      </c>
      <c r="BL41" s="529">
        <v>-27044.562999999998</v>
      </c>
      <c r="BM41" s="529">
        <v>-24979.402999999998</v>
      </c>
      <c r="BN41" s="529">
        <v>-24795.365000000002</v>
      </c>
      <c r="BO41" s="529">
        <v>-26159.046999999999</v>
      </c>
      <c r="BP41" s="529">
        <v>-27169.638999999999</v>
      </c>
      <c r="BQ41" s="529">
        <v>-25577.544999999998</v>
      </c>
      <c r="BR41" s="529">
        <v>-23645.401999999998</v>
      </c>
      <c r="BS41" s="529"/>
      <c r="BT41" s="529"/>
      <c r="BW41" s="1118" t="s">
        <v>476</v>
      </c>
      <c r="CA41" s="1052"/>
      <c r="CB41" s="15"/>
      <c r="CC41" s="15"/>
      <c r="CD41" s="11"/>
      <c r="CE41" s="11"/>
      <c r="CF41" s="11"/>
      <c r="CG41" s="11"/>
    </row>
    <row r="42" spans="1:85">
      <c r="C42" t="s">
        <v>478</v>
      </c>
      <c r="H42" s="118">
        <v>2013.4922469467999</v>
      </c>
      <c r="I42" s="118">
        <v>2244.0149999999999</v>
      </c>
      <c r="J42" s="118">
        <v>843.27499999999998</v>
      </c>
      <c r="K42" s="118">
        <v>-98.432000000000002</v>
      </c>
      <c r="L42" s="118">
        <v>-1019.032</v>
      </c>
      <c r="M42" s="118">
        <v>-1208.0029999999999</v>
      </c>
      <c r="N42" s="118">
        <v>-383.88299999999998</v>
      </c>
      <c r="O42" s="118">
        <v>328.80399999999997</v>
      </c>
      <c r="P42" s="118">
        <v>260.31299999999999</v>
      </c>
      <c r="Q42" s="118">
        <v>-789.84699999999998</v>
      </c>
      <c r="R42" s="118">
        <v>-718.97400000000005</v>
      </c>
      <c r="S42" s="118">
        <v>-703.94100000000003</v>
      </c>
      <c r="T42" s="118">
        <v>-3383.1550000000002</v>
      </c>
      <c r="U42" s="118">
        <v>-3377.97</v>
      </c>
      <c r="V42" s="118">
        <v>3165.7370000000001</v>
      </c>
      <c r="W42" s="118">
        <v>-4271.6639999999998</v>
      </c>
      <c r="X42" s="118">
        <v>-3069.5450000000001</v>
      </c>
      <c r="Y42" s="118">
        <v>-7247.3990000000003</v>
      </c>
      <c r="Z42" s="118">
        <v>1125.2349999999999</v>
      </c>
      <c r="AA42" s="118">
        <v>-5508.9059999999999</v>
      </c>
      <c r="AB42" s="118">
        <v>-2632.41</v>
      </c>
      <c r="AC42" s="118">
        <v>5461.8</v>
      </c>
      <c r="AD42" s="118">
        <v>-321.48399999999998</v>
      </c>
      <c r="AE42" s="118">
        <v>-961.68600000000004</v>
      </c>
      <c r="AF42" s="118">
        <v>-1618.857</v>
      </c>
      <c r="AG42" s="118">
        <v>447.10599999999999</v>
      </c>
      <c r="AH42" s="118">
        <v>2206.721</v>
      </c>
      <c r="AI42" s="118">
        <v>3280.145</v>
      </c>
      <c r="AJ42" s="118">
        <v>-165.053</v>
      </c>
      <c r="AK42" s="118">
        <v>-2569.8319999999999</v>
      </c>
      <c r="AL42" s="118">
        <v>-1787.8920000000001</v>
      </c>
      <c r="AM42" s="118">
        <v>1581.71</v>
      </c>
      <c r="AN42" s="118">
        <v>-4932.098</v>
      </c>
      <c r="AO42" s="118">
        <v>1968.778</v>
      </c>
      <c r="AP42" s="118">
        <v>2035.768</v>
      </c>
      <c r="AQ42" s="118">
        <v>-1228.462</v>
      </c>
      <c r="AR42" s="118">
        <v>1969.836</v>
      </c>
      <c r="AS42" s="118">
        <v>-8676.3029999999999</v>
      </c>
      <c r="AT42" s="118">
        <v>4045.8290000000002</v>
      </c>
      <c r="AU42" s="118">
        <v>1858.7449999999999</v>
      </c>
      <c r="AV42" s="118">
        <v>4740.0450000000001</v>
      </c>
      <c r="AW42" s="118">
        <v>1421.857</v>
      </c>
      <c r="AX42" s="118">
        <v>1601.5160000000001</v>
      </c>
      <c r="AY42" s="118">
        <v>-2479.808</v>
      </c>
      <c r="AZ42" s="118">
        <v>318.71600000000001</v>
      </c>
      <c r="BA42" s="118">
        <v>1242.2180000000001</v>
      </c>
      <c r="BB42" s="118">
        <v>-3547.1260000000002</v>
      </c>
      <c r="BC42" s="118">
        <v>-6669.1679999999997</v>
      </c>
      <c r="BD42" s="118">
        <v>1449.9090000000001</v>
      </c>
      <c r="BE42" s="529">
        <v>123.533</v>
      </c>
      <c r="BF42" s="529">
        <v>2401.2979999999998</v>
      </c>
      <c r="BG42" s="529">
        <v>-2319.81</v>
      </c>
      <c r="BH42" s="529">
        <v>2724.431</v>
      </c>
      <c r="BI42" s="529">
        <v>-2911.38</v>
      </c>
      <c r="BJ42" s="529">
        <v>-1134.348</v>
      </c>
      <c r="BK42" s="529">
        <v>1402.0409999999999</v>
      </c>
      <c r="BL42" s="529">
        <v>-6743.6239999999998</v>
      </c>
      <c r="BM42" s="529">
        <v>-76.936999999999998</v>
      </c>
      <c r="BN42" s="529">
        <v>5833.6570000000002</v>
      </c>
      <c r="BO42" s="529">
        <v>-2195.998</v>
      </c>
      <c r="BP42" s="529">
        <v>1690.123</v>
      </c>
      <c r="BQ42" s="529">
        <v>-2041.0540000000001</v>
      </c>
      <c r="BR42" s="529">
        <v>-1857.963</v>
      </c>
      <c r="BS42" s="529"/>
      <c r="BT42" s="529"/>
      <c r="BW42" s="1118" t="s">
        <v>476</v>
      </c>
      <c r="CB42" s="9"/>
      <c r="CC42" s="9"/>
    </row>
    <row r="43" spans="1:85" ht="15" thickBot="1">
      <c r="B43" t="s">
        <v>479</v>
      </c>
      <c r="H43" s="129">
        <v>656791.08924694662</v>
      </c>
      <c r="I43" s="130">
        <f t="shared" ref="I43:S43" si="49">SUM(I39:I42)</f>
        <v>658523.32924694661</v>
      </c>
      <c r="J43" s="130">
        <f t="shared" si="49"/>
        <v>663616.57124694658</v>
      </c>
      <c r="K43" s="130">
        <f t="shared" si="49"/>
        <v>666182.19024694653</v>
      </c>
      <c r="L43" s="130">
        <f t="shared" si="49"/>
        <v>664955.34824694647</v>
      </c>
      <c r="M43" s="130">
        <f t="shared" si="49"/>
        <v>664423.22324694647</v>
      </c>
      <c r="N43" s="130">
        <f t="shared" si="49"/>
        <v>668024.07424694637</v>
      </c>
      <c r="O43" s="130">
        <f t="shared" si="49"/>
        <v>669131.60724694643</v>
      </c>
      <c r="P43" s="130">
        <f t="shared" si="49"/>
        <v>670412.02424694644</v>
      </c>
      <c r="Q43" s="130">
        <f t="shared" si="49"/>
        <v>670414.47624694649</v>
      </c>
      <c r="R43" s="130">
        <f t="shared" si="49"/>
        <v>674355.1872469465</v>
      </c>
      <c r="S43" s="130">
        <f t="shared" si="49"/>
        <v>676360.47624694661</v>
      </c>
      <c r="T43" s="130">
        <f>SUM(T39:T42)</f>
        <v>674868.16624694667</v>
      </c>
      <c r="U43" s="130">
        <f t="shared" ref="U43:BL43" si="50">SUM(U39:U42)</f>
        <v>673077.89624694665</v>
      </c>
      <c r="V43" s="130">
        <f t="shared" si="50"/>
        <v>681978.49924694665</v>
      </c>
      <c r="W43" s="130">
        <f t="shared" si="50"/>
        <v>681177.64424694667</v>
      </c>
      <c r="X43" s="130">
        <f t="shared" si="50"/>
        <v>681927.03324694664</v>
      </c>
      <c r="Y43" s="130">
        <f t="shared" si="50"/>
        <v>678516.81024694664</v>
      </c>
      <c r="Z43" s="130">
        <f t="shared" si="50"/>
        <v>688163.27224694658</v>
      </c>
      <c r="AA43" s="130">
        <f t="shared" si="50"/>
        <v>689316.12124694663</v>
      </c>
      <c r="AB43" s="130">
        <f t="shared" si="50"/>
        <v>693194.29324694653</v>
      </c>
      <c r="AC43" s="130">
        <f>SUM(AC39:AC42)</f>
        <v>704631.99124694662</v>
      </c>
      <c r="AD43" s="130">
        <f t="shared" si="50"/>
        <v>714756.2902469465</v>
      </c>
      <c r="AE43" s="130">
        <f t="shared" si="50"/>
        <v>722162.13224694645</v>
      </c>
      <c r="AF43" s="130">
        <f t="shared" si="50"/>
        <v>728384.99624694651</v>
      </c>
      <c r="AG43" s="130">
        <f t="shared" si="50"/>
        <v>733756.49672787962</v>
      </c>
      <c r="AH43" s="130">
        <f t="shared" si="50"/>
        <v>746427.28072787961</v>
      </c>
      <c r="AI43" s="130">
        <f t="shared" si="50"/>
        <v>757410.70472787961</v>
      </c>
      <c r="AJ43" s="130">
        <f t="shared" si="50"/>
        <v>763831.46372787969</v>
      </c>
      <c r="AK43" s="130">
        <f t="shared" si="50"/>
        <v>765732.07772787963</v>
      </c>
      <c r="AL43" s="130">
        <f t="shared" si="50"/>
        <v>773604.15872787964</v>
      </c>
      <c r="AM43" s="130">
        <f t="shared" si="50"/>
        <v>781275.80972787959</v>
      </c>
      <c r="AN43" s="130">
        <f t="shared" si="50"/>
        <v>781041.13672787952</v>
      </c>
      <c r="AO43" s="130">
        <f t="shared" si="50"/>
        <v>785552.00372787961</v>
      </c>
      <c r="AP43" s="130">
        <f t="shared" si="50"/>
        <v>796375.73072787968</v>
      </c>
      <c r="AQ43" s="130">
        <f t="shared" si="50"/>
        <v>801494.25572787959</v>
      </c>
      <c r="AR43" s="130">
        <f t="shared" si="50"/>
        <v>808262.09872787958</v>
      </c>
      <c r="AS43" s="130">
        <f t="shared" si="50"/>
        <v>804512.37872787961</v>
      </c>
      <c r="AT43" s="130">
        <f t="shared" si="50"/>
        <v>821997.5207278796</v>
      </c>
      <c r="AU43" s="130">
        <f t="shared" si="50"/>
        <v>840226.90372787963</v>
      </c>
      <c r="AV43" s="130">
        <f t="shared" si="50"/>
        <v>858818.32872787968</v>
      </c>
      <c r="AW43" s="130">
        <f t="shared" si="50"/>
        <v>869642.98472787964</v>
      </c>
      <c r="AX43" s="130">
        <f t="shared" si="50"/>
        <v>886519.06172787957</v>
      </c>
      <c r="AY43" s="130">
        <f t="shared" si="50"/>
        <v>894017.55772787961</v>
      </c>
      <c r="AZ43" s="130">
        <f t="shared" si="50"/>
        <v>903403.8757278797</v>
      </c>
      <c r="BA43" s="130">
        <f t="shared" si="50"/>
        <v>909631.79072787962</v>
      </c>
      <c r="BB43" s="130">
        <f t="shared" si="50"/>
        <v>914437.52872787963</v>
      </c>
      <c r="BC43" s="130">
        <f t="shared" si="50"/>
        <v>912784.80172787968</v>
      </c>
      <c r="BD43" s="130">
        <f t="shared" si="50"/>
        <v>916807.8957278796</v>
      </c>
      <c r="BE43" s="541">
        <f t="shared" si="50"/>
        <v>922845.26072787959</v>
      </c>
      <c r="BF43" s="541">
        <f t="shared" si="50"/>
        <v>934866.59272787953</v>
      </c>
      <c r="BG43" s="541">
        <f t="shared" si="50"/>
        <v>937856.06472787948</v>
      </c>
      <c r="BH43" s="541">
        <f t="shared" si="50"/>
        <v>944609.4377278795</v>
      </c>
      <c r="BI43" s="541">
        <f t="shared" si="50"/>
        <v>947100.80972787947</v>
      </c>
      <c r="BJ43" s="541">
        <f t="shared" si="50"/>
        <v>950880.11772787955</v>
      </c>
      <c r="BK43" s="541">
        <f t="shared" si="50"/>
        <v>957811.0137278795</v>
      </c>
      <c r="BL43" s="541">
        <f t="shared" si="50"/>
        <v>953583.10072787956</v>
      </c>
      <c r="BM43" s="541">
        <f t="shared" ref="BM43:BP43" si="51">SUM(BM39:BM42)</f>
        <v>956981.32372787944</v>
      </c>
      <c r="BN43" s="541">
        <f t="shared" si="51"/>
        <v>968311.79672787944</v>
      </c>
      <c r="BO43" s="541">
        <f t="shared" si="51"/>
        <v>967023.53872787941</v>
      </c>
      <c r="BP43" s="541">
        <f t="shared" si="51"/>
        <v>967612.22472787951</v>
      </c>
      <c r="BQ43" s="541">
        <f t="shared" ref="BQ43:BR43" si="52">SUM(BQ39:BQ42)</f>
        <v>965671.36772787943</v>
      </c>
      <c r="BR43" s="541">
        <f t="shared" si="52"/>
        <v>967904.51272787945</v>
      </c>
      <c r="BS43" s="541">
        <f t="shared" ref="BS43:BT43" si="53">SUM(BS39:BS42)</f>
        <v>967904.51272787945</v>
      </c>
      <c r="BT43" s="541">
        <f t="shared" si="53"/>
        <v>967904.51272787945</v>
      </c>
      <c r="CB43" s="9"/>
      <c r="CC43" s="9"/>
    </row>
    <row r="44" spans="1:85" ht="15" thickTop="1"/>
    <row r="45" spans="1:85" s="78" customFormat="1">
      <c r="A45" s="131" t="s">
        <v>480</v>
      </c>
      <c r="BE45" s="527"/>
      <c r="BF45" s="527"/>
      <c r="BG45" s="527"/>
      <c r="BH45" s="527"/>
      <c r="BI45" s="527"/>
      <c r="BJ45" s="527"/>
      <c r="BK45" s="527"/>
      <c r="BL45" s="527"/>
      <c r="BM45" s="527"/>
      <c r="BN45" s="527"/>
      <c r="BO45" s="527"/>
      <c r="BP45" s="527"/>
      <c r="BQ45" s="527"/>
      <c r="BR45" s="527"/>
      <c r="BS45" s="527"/>
      <c r="BT45" s="527"/>
      <c r="BU45" s="527"/>
      <c r="BV45" s="527"/>
      <c r="BW45" s="528"/>
      <c r="BX45" s="528"/>
      <c r="BY45" s="528"/>
      <c r="BZ45" s="528"/>
      <c r="CA45" s="528"/>
      <c r="CB45" s="12"/>
      <c r="CC45" s="12"/>
    </row>
    <row r="46" spans="1:85">
      <c r="A46" s="94"/>
      <c r="B46" s="115" t="s">
        <v>481</v>
      </c>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536"/>
      <c r="BF46" s="536"/>
      <c r="BG46" s="536"/>
      <c r="BH46" s="536"/>
      <c r="BI46" s="536"/>
      <c r="BJ46" s="536"/>
      <c r="BK46" s="536"/>
      <c r="BL46" s="536"/>
      <c r="BM46" s="536"/>
      <c r="BN46" s="536"/>
      <c r="BO46" s="536"/>
      <c r="BP46" s="536"/>
      <c r="BQ46" s="536"/>
      <c r="BR46" s="536"/>
      <c r="BS46" s="536"/>
      <c r="BT46" s="536"/>
      <c r="CB46" s="9"/>
      <c r="CC46" s="9"/>
    </row>
    <row r="47" spans="1:85">
      <c r="C47" s="114" t="s">
        <v>482</v>
      </c>
      <c r="H47" s="127">
        <v>417.49099999999999</v>
      </c>
      <c r="I47" s="127">
        <v>451.13</v>
      </c>
      <c r="J47" s="127">
        <v>480.78699999999998</v>
      </c>
      <c r="K47" s="127">
        <f>387.133</f>
        <v>387.13299999999998</v>
      </c>
      <c r="L47" s="127">
        <f>374.379</f>
        <v>374.37900000000002</v>
      </c>
      <c r="M47" s="127">
        <f>433.895</f>
        <v>433.89499999999998</v>
      </c>
      <c r="N47" s="127">
        <f>475.945</f>
        <v>475.94499999999999</v>
      </c>
      <c r="O47" s="127">
        <f>444.874</f>
        <v>444.87400000000002</v>
      </c>
      <c r="P47" s="127">
        <f>475.121</f>
        <v>475.12099999999998</v>
      </c>
      <c r="Q47" s="127">
        <f>517.742</f>
        <v>517.74199999999996</v>
      </c>
      <c r="R47" s="127">
        <f>578.599</f>
        <v>578.59900000000005</v>
      </c>
      <c r="S47" s="127">
        <f>514.941</f>
        <v>514.94100000000003</v>
      </c>
      <c r="T47" s="127">
        <v>526.48599999999999</v>
      </c>
      <c r="U47" s="127">
        <v>568.99300000000005</v>
      </c>
      <c r="V47" s="127">
        <v>650.06100000000004</v>
      </c>
      <c r="W47" s="127">
        <v>600.09699999999998</v>
      </c>
      <c r="X47" s="127">
        <v>616.05799999999999</v>
      </c>
      <c r="Y47" s="127">
        <v>641.16300000000001</v>
      </c>
      <c r="Z47" s="127">
        <v>698.673</v>
      </c>
      <c r="AA47" s="127">
        <v>597.39</v>
      </c>
      <c r="AB47" s="127">
        <v>619.95000000000005</v>
      </c>
      <c r="AC47" s="127">
        <v>599.86</v>
      </c>
      <c r="AD47" s="127">
        <v>693.19500000000005</v>
      </c>
      <c r="AE47" s="127">
        <v>652.42899999999997</v>
      </c>
      <c r="AF47" s="127">
        <v>671.56299999999999</v>
      </c>
      <c r="AG47" s="127">
        <v>752.24432523999997</v>
      </c>
      <c r="AH47" s="127">
        <v>804.23</v>
      </c>
      <c r="AI47" s="127">
        <v>707.35400000000004</v>
      </c>
      <c r="AJ47" s="127">
        <v>752.66099999999994</v>
      </c>
      <c r="AK47" s="127">
        <v>792.40700000000004</v>
      </c>
      <c r="AL47" s="127">
        <v>800.60900000000004</v>
      </c>
      <c r="AM47" s="127">
        <v>763.25599999999997</v>
      </c>
      <c r="AN47" s="127">
        <v>767.77099999999996</v>
      </c>
      <c r="AO47" s="127">
        <v>710.21400000000006</v>
      </c>
      <c r="AP47" s="127">
        <v>855.92899999999997</v>
      </c>
      <c r="AQ47" s="127">
        <v>829.73800000000006</v>
      </c>
      <c r="AR47" s="127">
        <v>831.923</v>
      </c>
      <c r="AS47" s="127">
        <v>920.98599999999999</v>
      </c>
      <c r="AT47" s="127">
        <v>758.40499999999997</v>
      </c>
      <c r="AU47" s="127">
        <v>874.08799999999997</v>
      </c>
      <c r="AV47" s="127">
        <v>945.50199999999995</v>
      </c>
      <c r="AW47" s="127">
        <v>1261.8710000000001</v>
      </c>
      <c r="AX47" s="127">
        <v>1336.0830000000001</v>
      </c>
      <c r="AY47" s="127">
        <v>1247.8</v>
      </c>
      <c r="AZ47" s="127">
        <v>1300.336</v>
      </c>
      <c r="BA47" s="127">
        <v>1298.605</v>
      </c>
      <c r="BB47" s="127">
        <v>1151.4159999999999</v>
      </c>
      <c r="BC47" s="127">
        <v>931.75400000000002</v>
      </c>
      <c r="BD47" s="127">
        <v>883.77599999999995</v>
      </c>
      <c r="BE47" s="538">
        <v>971.721</v>
      </c>
      <c r="BF47" s="538">
        <v>998.45100000000002</v>
      </c>
      <c r="BG47" s="538">
        <v>956.85500000000002</v>
      </c>
      <c r="BH47" s="538">
        <v>970.91200000000003</v>
      </c>
      <c r="BI47" s="538">
        <v>1162.18</v>
      </c>
      <c r="BJ47" s="538">
        <v>1228.5619999999999</v>
      </c>
      <c r="BK47" s="538">
        <v>1162.71</v>
      </c>
      <c r="BL47" s="538">
        <v>1241.297</v>
      </c>
      <c r="BM47" s="538">
        <v>1317.93</v>
      </c>
      <c r="BN47" s="538">
        <v>1244.0060000000001</v>
      </c>
      <c r="BO47" s="538">
        <v>1298.3910000000001</v>
      </c>
      <c r="BP47" s="538">
        <v>1323.0260000000001</v>
      </c>
      <c r="BQ47" s="538">
        <v>1460.242</v>
      </c>
      <c r="BR47" s="538">
        <v>1482.4290000000001</v>
      </c>
      <c r="BS47" s="538"/>
      <c r="BT47" s="538"/>
      <c r="BW47" s="1118" t="s">
        <v>466</v>
      </c>
      <c r="CB47" s="9"/>
      <c r="CC47" s="9"/>
    </row>
    <row r="48" spans="1:85">
      <c r="C48" s="114" t="s">
        <v>288</v>
      </c>
      <c r="H48" s="127">
        <v>102.855</v>
      </c>
      <c r="I48" s="127">
        <v>194.86600000000001</v>
      </c>
      <c r="J48" s="127">
        <v>122.336</v>
      </c>
      <c r="K48" s="127">
        <v>111.123</v>
      </c>
      <c r="L48" s="127">
        <v>108.13500000000001</v>
      </c>
      <c r="M48" s="127">
        <v>177.982</v>
      </c>
      <c r="N48" s="127">
        <v>113.699</v>
      </c>
      <c r="O48" s="127">
        <v>100.83499999999999</v>
      </c>
      <c r="P48" s="127">
        <v>123.42700000000001</v>
      </c>
      <c r="Q48" s="127">
        <v>194.17500000000001</v>
      </c>
      <c r="R48" s="127">
        <v>144.06200000000001</v>
      </c>
      <c r="S48" s="127">
        <v>133.238</v>
      </c>
      <c r="T48" s="127">
        <v>156.767</v>
      </c>
      <c r="U48" s="127">
        <v>252.393</v>
      </c>
      <c r="V48" s="127">
        <v>170.852</v>
      </c>
      <c r="W48" s="127">
        <v>162.73599999999999</v>
      </c>
      <c r="X48" s="127">
        <v>188.36699999999999</v>
      </c>
      <c r="Y48" s="127">
        <v>214.452</v>
      </c>
      <c r="Z48" s="127">
        <v>170.16900000000001</v>
      </c>
      <c r="AA48" s="127">
        <v>158.40700000000001</v>
      </c>
      <c r="AB48" s="127">
        <v>158.65799999999999</v>
      </c>
      <c r="AC48" s="127">
        <v>209.643</v>
      </c>
      <c r="AD48" s="127">
        <v>159.44499999999999</v>
      </c>
      <c r="AE48" s="127">
        <v>144.33600000000001</v>
      </c>
      <c r="AF48" s="127">
        <v>148.98599999999999</v>
      </c>
      <c r="AG48" s="127">
        <v>232.814329405216</v>
      </c>
      <c r="AH48" s="127">
        <v>182.66800000000001</v>
      </c>
      <c r="AI48" s="127">
        <v>170.83600000000001</v>
      </c>
      <c r="AJ48" s="127">
        <v>199.28299999999999</v>
      </c>
      <c r="AK48" s="127">
        <v>276.16800000000001</v>
      </c>
      <c r="AL48" s="127">
        <v>199.232</v>
      </c>
      <c r="AM48" s="127">
        <v>181.697</v>
      </c>
      <c r="AN48" s="127">
        <v>182.63300000000001</v>
      </c>
      <c r="AO48" s="127">
        <v>244.09100000000001</v>
      </c>
      <c r="AP48" s="127">
        <v>199.66300000000001</v>
      </c>
      <c r="AQ48" s="127">
        <v>184.881</v>
      </c>
      <c r="AR48" s="127">
        <v>199.012</v>
      </c>
      <c r="AS48" s="127">
        <v>280.90899999999999</v>
      </c>
      <c r="AT48" s="127">
        <v>165.232</v>
      </c>
      <c r="AU48" s="127">
        <v>189.62</v>
      </c>
      <c r="AV48" s="127">
        <v>255.99100000000001</v>
      </c>
      <c r="AW48" s="127">
        <v>424.048</v>
      </c>
      <c r="AX48" s="127">
        <v>356.97199999999998</v>
      </c>
      <c r="AY48" s="127">
        <v>314.76100000000002</v>
      </c>
      <c r="AZ48" s="127">
        <v>343.00799999999998</v>
      </c>
      <c r="BA48" s="127">
        <v>437.642</v>
      </c>
      <c r="BB48" s="127">
        <v>250.619</v>
      </c>
      <c r="BC48" s="127">
        <v>112.241</v>
      </c>
      <c r="BD48" s="127">
        <v>111.986</v>
      </c>
      <c r="BE48" s="538">
        <v>149.762</v>
      </c>
      <c r="BF48" s="538">
        <v>106.233</v>
      </c>
      <c r="BG48" s="538">
        <v>110.087</v>
      </c>
      <c r="BH48" s="538">
        <v>111.96599999999999</v>
      </c>
      <c r="BI48" s="538">
        <v>179.636</v>
      </c>
      <c r="BJ48" s="538">
        <v>147.6</v>
      </c>
      <c r="BK48" s="538">
        <v>146.16</v>
      </c>
      <c r="BL48" s="538">
        <v>192.12</v>
      </c>
      <c r="BM48" s="538">
        <v>220.70599999999999</v>
      </c>
      <c r="BN48" s="538">
        <v>168.47300000000001</v>
      </c>
      <c r="BO48" s="538">
        <v>185.72</v>
      </c>
      <c r="BP48" s="538">
        <v>212.87700000000001</v>
      </c>
      <c r="BQ48" s="538">
        <v>235.18600000000001</v>
      </c>
      <c r="BR48" s="538">
        <v>199.18</v>
      </c>
      <c r="BS48" s="538"/>
      <c r="BT48" s="538"/>
      <c r="BW48" s="1118" t="s">
        <v>466</v>
      </c>
      <c r="CB48" s="17"/>
      <c r="CC48" s="9"/>
    </row>
    <row r="49" spans="2:84">
      <c r="C49" s="114" t="s">
        <v>483</v>
      </c>
      <c r="H49" s="127">
        <v>0</v>
      </c>
      <c r="I49" s="127">
        <v>0</v>
      </c>
      <c r="J49" s="127">
        <v>0</v>
      </c>
      <c r="K49" s="127">
        <v>0</v>
      </c>
      <c r="L49" s="127">
        <v>0.997</v>
      </c>
      <c r="M49" s="127">
        <v>25.34</v>
      </c>
      <c r="N49" s="127">
        <v>103.065</v>
      </c>
      <c r="O49" s="127">
        <f>112.969</f>
        <v>112.96899999999999</v>
      </c>
      <c r="P49" s="127">
        <v>154.93199999999999</v>
      </c>
      <c r="Q49" s="127">
        <v>92.944000000000003</v>
      </c>
      <c r="R49" s="127">
        <v>111.69799999999999</v>
      </c>
      <c r="S49" s="127">
        <v>104.43899999999999</v>
      </c>
      <c r="T49" s="127">
        <v>103.965</v>
      </c>
      <c r="U49" s="127">
        <v>84.212000000000003</v>
      </c>
      <c r="V49" s="127">
        <v>84.727999999999994</v>
      </c>
      <c r="W49" s="127">
        <v>61.963000000000001</v>
      </c>
      <c r="X49" s="127">
        <v>53.994999999999997</v>
      </c>
      <c r="Y49" s="127">
        <v>73.662999999999997</v>
      </c>
      <c r="Z49" s="127">
        <v>91.16</v>
      </c>
      <c r="AA49" s="127">
        <v>75.325000000000003</v>
      </c>
      <c r="AB49" s="127">
        <v>80.239999999999995</v>
      </c>
      <c r="AC49" s="127">
        <v>84.397000000000006</v>
      </c>
      <c r="AD49" s="127">
        <v>114.248</v>
      </c>
      <c r="AE49" s="127">
        <v>99.669000000000011</v>
      </c>
      <c r="AF49" s="127">
        <v>100.486</v>
      </c>
      <c r="AG49" s="127">
        <v>80.889419160000003</v>
      </c>
      <c r="AH49" s="127">
        <v>83.578999999999994</v>
      </c>
      <c r="AI49" s="127">
        <v>64.200999999999993</v>
      </c>
      <c r="AJ49" s="127">
        <v>58.353999999999999</v>
      </c>
      <c r="AK49" s="127">
        <v>67.542000000000002</v>
      </c>
      <c r="AL49" s="127">
        <v>71.936000000000007</v>
      </c>
      <c r="AM49" s="127">
        <v>78.823999999999998</v>
      </c>
      <c r="AN49" s="127">
        <v>88.161000000000001</v>
      </c>
      <c r="AO49" s="127">
        <v>80.957999999999998</v>
      </c>
      <c r="AP49" s="127">
        <v>88.155000000000001</v>
      </c>
      <c r="AQ49" s="127">
        <v>74.950999999999993</v>
      </c>
      <c r="AR49" s="127">
        <v>76.338999999999999</v>
      </c>
      <c r="AS49" s="127">
        <v>72.191000000000003</v>
      </c>
      <c r="AT49" s="127">
        <v>48.368000000000002</v>
      </c>
      <c r="AU49" s="127">
        <v>47.192</v>
      </c>
      <c r="AV49" s="127">
        <v>50.593000000000004</v>
      </c>
      <c r="AW49" s="127">
        <v>55.459000000000003</v>
      </c>
      <c r="AX49" s="127">
        <v>62.767000000000003</v>
      </c>
      <c r="AY49" s="127">
        <v>51.898000000000003</v>
      </c>
      <c r="AZ49" s="127">
        <v>60.118000000000002</v>
      </c>
      <c r="BA49" s="127">
        <v>57.469000000000001</v>
      </c>
      <c r="BB49" s="127">
        <v>70.161000000000001</v>
      </c>
      <c r="BC49" s="127">
        <v>55.792999999999999</v>
      </c>
      <c r="BD49" s="127">
        <v>69.162000000000006</v>
      </c>
      <c r="BE49" s="538">
        <v>80.677000000000007</v>
      </c>
      <c r="BF49" s="538">
        <v>89.343999999999994</v>
      </c>
      <c r="BG49" s="538">
        <v>72.745999999999995</v>
      </c>
      <c r="BH49" s="538">
        <v>68.938999999999993</v>
      </c>
      <c r="BI49" s="538">
        <v>80.974999999999994</v>
      </c>
      <c r="BJ49" s="538">
        <v>97.992000000000004</v>
      </c>
      <c r="BK49" s="538">
        <v>89.509</v>
      </c>
      <c r="BL49" s="538">
        <v>86.662999999999997</v>
      </c>
      <c r="BM49" s="538">
        <v>71.090999999999994</v>
      </c>
      <c r="BN49" s="538">
        <v>93.03</v>
      </c>
      <c r="BO49" s="538">
        <v>72.668000000000006</v>
      </c>
      <c r="BP49" s="538">
        <v>70.209999999999994</v>
      </c>
      <c r="BQ49" s="538">
        <v>77.247</v>
      </c>
      <c r="BR49" s="538">
        <v>68.414000000000001</v>
      </c>
      <c r="BS49" s="538"/>
      <c r="BT49" s="538"/>
      <c r="BW49" s="1118" t="s">
        <v>466</v>
      </c>
      <c r="CB49" s="17"/>
      <c r="CC49" s="9"/>
    </row>
    <row r="50" spans="2:84">
      <c r="C50" s="114" t="s">
        <v>484</v>
      </c>
      <c r="H50" s="127">
        <f>293.664+8.157+4.242</f>
        <v>306.06299999999999</v>
      </c>
      <c r="I50" s="127">
        <f>331.336+11.389+1.873</f>
        <v>344.59800000000001</v>
      </c>
      <c r="J50" s="127">
        <f>447.121+8.336+2.569</f>
        <v>458.02600000000001</v>
      </c>
      <c r="K50" s="127">
        <v>483.44900000000001</v>
      </c>
      <c r="L50" s="127">
        <f>357.359+28.656+1.339</f>
        <v>387.35399999999998</v>
      </c>
      <c r="M50" s="127">
        <f>380.991+20.573+2.034</f>
        <v>403.59799999999996</v>
      </c>
      <c r="N50" s="127">
        <f>363.365+32.619+1.3</f>
        <v>397.28400000000005</v>
      </c>
      <c r="O50" s="127">
        <f>314.271+15.89+2.025</f>
        <v>332.18599999999998</v>
      </c>
      <c r="P50" s="127">
        <f>313.306+58.374+0.809</f>
        <v>372.48900000000003</v>
      </c>
      <c r="Q50" s="127">
        <f>307.508+79.982+0.65</f>
        <v>388.14</v>
      </c>
      <c r="R50" s="127">
        <f>341.792+18.53+1.224</f>
        <v>361.54599999999999</v>
      </c>
      <c r="S50" s="127">
        <f>372.638+14.801+0.585</f>
        <v>388.02399999999994</v>
      </c>
      <c r="T50" s="127">
        <f>369.344+14.658+0.285</f>
        <v>384.28700000000003</v>
      </c>
      <c r="U50" s="127">
        <f>0.7+20.663+344.391</f>
        <v>365.75400000000002</v>
      </c>
      <c r="V50" s="127">
        <f>397.267+13.877+5.949</f>
        <v>417.09300000000002</v>
      </c>
      <c r="W50" s="127">
        <f>418.095+10.815+5.297</f>
        <v>434.20700000000005</v>
      </c>
      <c r="X50" s="127">
        <f>444.549+21.52+3.289</f>
        <v>469.35799999999995</v>
      </c>
      <c r="Y50" s="127">
        <f>375.255+26+3.741</f>
        <v>404.99599999999998</v>
      </c>
      <c r="Z50" s="127">
        <f>413.954+33.795+4.414</f>
        <v>452.16300000000001</v>
      </c>
      <c r="AA50" s="127">
        <f>380.558+18.338+5.386</f>
        <v>404.28200000000004</v>
      </c>
      <c r="AB50" s="127">
        <f>396.3+22.661+3.213</f>
        <v>422.17400000000004</v>
      </c>
      <c r="AC50" s="127">
        <f>314.193+30.533+4.717</f>
        <v>349.44299999999998</v>
      </c>
      <c r="AD50" s="127">
        <f>331.979+48.505+3.091</f>
        <v>383.57499999999999</v>
      </c>
      <c r="AE50" s="127">
        <f>296.863+23.596+1.577</f>
        <v>322.036</v>
      </c>
      <c r="AF50" s="127">
        <f>324.394+31.758+3.205</f>
        <v>359.35699999999997</v>
      </c>
      <c r="AG50" s="127">
        <f>299.869+42.184+4.17118</f>
        <v>346.22417999999999</v>
      </c>
      <c r="AH50" s="127">
        <f>318.871+44.602+3.003</f>
        <v>366.47599999999994</v>
      </c>
      <c r="AI50" s="127">
        <f>270.205+28.871+2.661</f>
        <v>301.73699999999997</v>
      </c>
      <c r="AJ50" s="127">
        <f>312.687+53.841+1.646</f>
        <v>368.17400000000004</v>
      </c>
      <c r="AK50" s="127">
        <f>329.385+43.784+2.889</f>
        <v>376.05799999999999</v>
      </c>
      <c r="AL50" s="127">
        <f>389.804+36.376+6.019</f>
        <v>432.19899999999996</v>
      </c>
      <c r="AM50" s="127">
        <f>439.153+61.72+3.642</f>
        <v>504.51500000000004</v>
      </c>
      <c r="AN50" s="127">
        <f>449.697+24.469+2.613</f>
        <v>476.779</v>
      </c>
      <c r="AO50" s="127">
        <f>430.014+31.514+4.31</f>
        <v>465.83800000000002</v>
      </c>
      <c r="AP50" s="127">
        <f>465.691+41.847+6.708</f>
        <v>514.24599999999998</v>
      </c>
      <c r="AQ50" s="127">
        <f>479.875+30.903+2.047</f>
        <v>512.82500000000005</v>
      </c>
      <c r="AR50" s="127">
        <f>547.612+33.808+2.294</f>
        <v>583.71399999999994</v>
      </c>
      <c r="AS50" s="127">
        <f>544.397+53.593+2.58</f>
        <v>600.57000000000005</v>
      </c>
      <c r="AT50" s="127">
        <f>393.348+43.585+3.539</f>
        <v>440.47199999999998</v>
      </c>
      <c r="AU50" s="127">
        <f>388.461+31.073+2.207</f>
        <v>421.74099999999999</v>
      </c>
      <c r="AV50" s="127">
        <f>481.284+45.189+2.778</f>
        <v>529.25099999999998</v>
      </c>
      <c r="AW50" s="127">
        <f>584.632+39.17+3.265</f>
        <v>627.06699999999989</v>
      </c>
      <c r="AX50" s="127">
        <v>767.60099999999989</v>
      </c>
      <c r="AY50" s="127">
        <f>638.785+28.175+1.694</f>
        <v>668.65399999999988</v>
      </c>
      <c r="AZ50" s="127">
        <f>723.777+56.393+2.079</f>
        <v>782.24900000000002</v>
      </c>
      <c r="BA50" s="127">
        <f>617.482+46.457+4.49</f>
        <v>668.42899999999997</v>
      </c>
      <c r="BB50" s="127">
        <f>575.773+35.426+6.077</f>
        <v>617.27600000000007</v>
      </c>
      <c r="BC50" s="127">
        <f>501.9+34.685+5.93</f>
        <v>542.51499999999999</v>
      </c>
      <c r="BD50" s="127">
        <f>52.031+17.946+477.987</f>
        <v>547.96400000000006</v>
      </c>
      <c r="BE50" s="538">
        <f>495.95+37.663+22.807</f>
        <v>556.41999999999996</v>
      </c>
      <c r="BF50" s="538">
        <f>549.301+61.52+38.251</f>
        <v>649.072</v>
      </c>
      <c r="BG50" s="538">
        <f>553.626+40.525+34.637</f>
        <v>628.78800000000001</v>
      </c>
      <c r="BH50" s="538">
        <f>582.105+43.183+46.582</f>
        <v>671.87</v>
      </c>
      <c r="BI50" s="538">
        <f>667.132+36.798+52.049</f>
        <v>755.97899999999993</v>
      </c>
      <c r="BJ50" s="538">
        <f>843.645+42.548+55.23</f>
        <v>941.423</v>
      </c>
      <c r="BK50" s="538">
        <f>799.419+42.061+50.049</f>
        <v>891.529</v>
      </c>
      <c r="BL50" s="538">
        <f>921.633+47.797+54.391</f>
        <v>1023.821</v>
      </c>
      <c r="BM50" s="538">
        <f>947.052+42.546+49.266</f>
        <v>1038.864</v>
      </c>
      <c r="BN50" s="538">
        <f>1078.892+45.748+54.01</f>
        <v>1178.6500000000001</v>
      </c>
      <c r="BO50" s="538">
        <f>1081.179+43.948+55.494</f>
        <v>1180.6210000000001</v>
      </c>
      <c r="BP50" s="538">
        <f>1274.778+57.201+43.287</f>
        <v>1375.2660000000001</v>
      </c>
      <c r="BQ50" s="538">
        <f>1277.395+44.104+62.056</f>
        <v>1383.5550000000001</v>
      </c>
      <c r="BR50" s="538">
        <f>1265.299+46.103+76.39</f>
        <v>1387.7920000000001</v>
      </c>
      <c r="BS50" s="538"/>
      <c r="BT50" s="538"/>
      <c r="BW50" s="1118" t="s">
        <v>466</v>
      </c>
      <c r="BY50" s="1118" t="s">
        <v>485</v>
      </c>
      <c r="CB50" s="132"/>
      <c r="CC50" s="9"/>
    </row>
    <row r="51" spans="2:84">
      <c r="D51" t="s">
        <v>486</v>
      </c>
      <c r="H51" s="133">
        <f t="shared" ref="H51" si="54">SUM(H47:H50)</f>
        <v>826.40899999999999</v>
      </c>
      <c r="I51" s="133">
        <f t="shared" ref="I51:X51" si="55">SUM(I47:I50)</f>
        <v>990.59400000000005</v>
      </c>
      <c r="J51" s="133">
        <f t="shared" si="55"/>
        <v>1061.1489999999999</v>
      </c>
      <c r="K51" s="133">
        <f t="shared" si="55"/>
        <v>981.70499999999993</v>
      </c>
      <c r="L51" s="133">
        <f t="shared" si="55"/>
        <v>870.86500000000001</v>
      </c>
      <c r="M51" s="133">
        <f t="shared" si="55"/>
        <v>1040.8150000000001</v>
      </c>
      <c r="N51" s="133">
        <f t="shared" si="55"/>
        <v>1089.9930000000002</v>
      </c>
      <c r="O51" s="133">
        <f t="shared" si="55"/>
        <v>990.86400000000003</v>
      </c>
      <c r="P51" s="133">
        <f t="shared" si="55"/>
        <v>1125.9690000000001</v>
      </c>
      <c r="Q51" s="133">
        <f t="shared" si="55"/>
        <v>1193.0009999999997</v>
      </c>
      <c r="R51" s="133">
        <f t="shared" si="55"/>
        <v>1195.905</v>
      </c>
      <c r="S51" s="133">
        <f t="shared" si="55"/>
        <v>1140.6420000000001</v>
      </c>
      <c r="T51" s="133">
        <f t="shared" si="55"/>
        <v>1171.5050000000001</v>
      </c>
      <c r="U51" s="133">
        <f t="shared" si="55"/>
        <v>1271.3520000000001</v>
      </c>
      <c r="V51" s="133">
        <f t="shared" si="55"/>
        <v>1322.7339999999999</v>
      </c>
      <c r="W51" s="133">
        <f t="shared" si="55"/>
        <v>1259.0029999999999</v>
      </c>
      <c r="X51" s="133">
        <f t="shared" si="55"/>
        <v>1327.7779999999998</v>
      </c>
      <c r="Y51" s="133">
        <f>SUM(Y47:Y50)</f>
        <v>1334.2739999999999</v>
      </c>
      <c r="Z51" s="133">
        <f t="shared" ref="Z51:AF51" si="56">SUM(Z47:Z50)</f>
        <v>1412.165</v>
      </c>
      <c r="AA51" s="133">
        <f t="shared" si="56"/>
        <v>1235.404</v>
      </c>
      <c r="AB51" s="133">
        <f t="shared" si="56"/>
        <v>1281.0220000000002</v>
      </c>
      <c r="AC51" s="133">
        <f t="shared" si="56"/>
        <v>1243.3430000000001</v>
      </c>
      <c r="AD51" s="133">
        <f t="shared" si="56"/>
        <v>1350.4630000000002</v>
      </c>
      <c r="AE51" s="133">
        <f t="shared" si="56"/>
        <v>1218.47</v>
      </c>
      <c r="AF51" s="133">
        <f t="shared" si="56"/>
        <v>1280.3919999999998</v>
      </c>
      <c r="AG51" s="133">
        <f>SUM(AG47:AG50)</f>
        <v>1412.1722538052159</v>
      </c>
      <c r="AH51" s="133">
        <f>SUM(AH47:AH50)</f>
        <v>1436.953</v>
      </c>
      <c r="AI51" s="133">
        <f>SUM(AI47:AI50)</f>
        <v>1244.1280000000002</v>
      </c>
      <c r="AJ51" s="133">
        <f>SUM(AJ47:AJ50)</f>
        <v>1378.472</v>
      </c>
      <c r="AK51" s="133">
        <f>SUM(AK47:AK50)</f>
        <v>1512.175</v>
      </c>
      <c r="AL51" s="133">
        <f t="shared" ref="AL51:BL51" si="57">SUM(AL47:AL50)</f>
        <v>1503.9760000000001</v>
      </c>
      <c r="AM51" s="133">
        <f t="shared" si="57"/>
        <v>1528.2919999999999</v>
      </c>
      <c r="AN51" s="133">
        <f t="shared" si="57"/>
        <v>1515.3440000000001</v>
      </c>
      <c r="AO51" s="133">
        <f t="shared" si="57"/>
        <v>1501.1010000000001</v>
      </c>
      <c r="AP51" s="133">
        <f t="shared" si="57"/>
        <v>1657.9929999999999</v>
      </c>
      <c r="AQ51" s="133">
        <f t="shared" si="57"/>
        <v>1602.395</v>
      </c>
      <c r="AR51" s="133">
        <f t="shared" si="57"/>
        <v>1690.9879999999998</v>
      </c>
      <c r="AS51" s="133">
        <f t="shared" si="57"/>
        <v>1874.6559999999999</v>
      </c>
      <c r="AT51" s="133">
        <f t="shared" si="57"/>
        <v>1412.4769999999999</v>
      </c>
      <c r="AU51" s="133">
        <f t="shared" si="57"/>
        <v>1532.6410000000001</v>
      </c>
      <c r="AV51" s="133">
        <f t="shared" si="57"/>
        <v>1781.337</v>
      </c>
      <c r="AW51" s="133">
        <f t="shared" si="57"/>
        <v>2368.4450000000002</v>
      </c>
      <c r="AX51" s="133">
        <f t="shared" si="57"/>
        <v>2523.4229999999998</v>
      </c>
      <c r="AY51" s="133">
        <f t="shared" si="57"/>
        <v>2283.1129999999998</v>
      </c>
      <c r="AZ51" s="133">
        <f t="shared" si="57"/>
        <v>2485.7110000000002</v>
      </c>
      <c r="BA51" s="133">
        <f t="shared" si="57"/>
        <v>2462.145</v>
      </c>
      <c r="BB51" s="133">
        <f t="shared" si="57"/>
        <v>2089.4719999999998</v>
      </c>
      <c r="BC51" s="133">
        <f t="shared" si="57"/>
        <v>1642.3029999999999</v>
      </c>
      <c r="BD51" s="133">
        <f t="shared" si="57"/>
        <v>1612.8879999999999</v>
      </c>
      <c r="BE51" s="542">
        <f t="shared" si="57"/>
        <v>1758.58</v>
      </c>
      <c r="BF51" s="542">
        <f t="shared" si="57"/>
        <v>1843.1</v>
      </c>
      <c r="BG51" s="542">
        <f t="shared" si="57"/>
        <v>1768.4760000000001</v>
      </c>
      <c r="BH51" s="542">
        <f t="shared" si="57"/>
        <v>1823.6869999999999</v>
      </c>
      <c r="BI51" s="542">
        <f t="shared" si="57"/>
        <v>2178.77</v>
      </c>
      <c r="BJ51" s="542">
        <f t="shared" si="57"/>
        <v>2415.5769999999998</v>
      </c>
      <c r="BK51" s="542">
        <f t="shared" si="57"/>
        <v>2289.9080000000004</v>
      </c>
      <c r="BL51" s="542">
        <f t="shared" si="57"/>
        <v>2543.9009999999998</v>
      </c>
      <c r="BM51" s="542">
        <f t="shared" ref="BM51:BP51" si="58">SUM(BM47:BM50)</f>
        <v>2648.5909999999999</v>
      </c>
      <c r="BN51" s="542">
        <f t="shared" si="58"/>
        <v>2684.1590000000001</v>
      </c>
      <c r="BO51" s="542">
        <f t="shared" si="58"/>
        <v>2737.4</v>
      </c>
      <c r="BP51" s="542">
        <f t="shared" si="58"/>
        <v>2981.3789999999999</v>
      </c>
      <c r="BQ51" s="542">
        <f t="shared" ref="BQ51:BR51" si="59">SUM(BQ47:BQ50)</f>
        <v>3156.23</v>
      </c>
      <c r="BR51" s="542">
        <f t="shared" si="59"/>
        <v>3137.8150000000005</v>
      </c>
      <c r="BS51" s="542">
        <f t="shared" ref="BS51:BT51" si="60">SUM(BS47:BS50)</f>
        <v>0</v>
      </c>
      <c r="BT51" s="542">
        <f t="shared" si="60"/>
        <v>0</v>
      </c>
      <c r="CB51" s="132"/>
      <c r="CC51" s="9"/>
    </row>
    <row r="52" spans="2:84">
      <c r="C52" t="s">
        <v>487</v>
      </c>
      <c r="H52" s="127">
        <v>0</v>
      </c>
      <c r="I52" s="127">
        <v>0</v>
      </c>
      <c r="J52" s="127">
        <v>0.185</v>
      </c>
      <c r="K52" s="127">
        <v>11.782</v>
      </c>
      <c r="L52" s="127">
        <v>16.61</v>
      </c>
      <c r="M52" s="127">
        <v>23.129000000000001</v>
      </c>
      <c r="N52" s="127">
        <v>39.590000000000003</v>
      </c>
      <c r="O52" s="127">
        <v>37.295999999999999</v>
      </c>
      <c r="P52" s="127">
        <v>35.771000000000001</v>
      </c>
      <c r="Q52" s="127">
        <v>56.665999999999997</v>
      </c>
      <c r="R52" s="127">
        <v>57.52</v>
      </c>
      <c r="S52" s="127">
        <v>57.119</v>
      </c>
      <c r="T52" s="127">
        <v>53.835000000000001</v>
      </c>
      <c r="U52" s="127">
        <v>62.847999999999999</v>
      </c>
      <c r="V52" s="127">
        <v>65.317999999999998</v>
      </c>
      <c r="W52" s="127">
        <v>66.305999999999997</v>
      </c>
      <c r="X52" s="127">
        <v>63.851999999999997</v>
      </c>
      <c r="Y52" s="127">
        <v>66.105000000000004</v>
      </c>
      <c r="Z52" s="127">
        <v>72.209000000000003</v>
      </c>
      <c r="AA52" s="127">
        <v>57.131999999999998</v>
      </c>
      <c r="AB52" s="127">
        <v>51.433</v>
      </c>
      <c r="AC52" s="127">
        <v>45.220999999999997</v>
      </c>
      <c r="AD52" s="127">
        <v>55.241999999999997</v>
      </c>
      <c r="AE52" s="127">
        <v>54.005000000000003</v>
      </c>
      <c r="AF52" s="127">
        <v>57.375</v>
      </c>
      <c r="AG52" s="127">
        <v>70.752352279999997</v>
      </c>
      <c r="AH52" s="127">
        <v>72.361999999999995</v>
      </c>
      <c r="AI52" s="127">
        <v>125.42700000000001</v>
      </c>
      <c r="AJ52" s="127">
        <v>159.66</v>
      </c>
      <c r="AK52" s="127">
        <v>188.827</v>
      </c>
      <c r="AL52" s="127">
        <v>204.32</v>
      </c>
      <c r="AM52" s="127">
        <v>190.46799999999999</v>
      </c>
      <c r="AN52" s="127">
        <v>169.40899999999999</v>
      </c>
      <c r="AO52" s="127">
        <v>161.63900000000001</v>
      </c>
      <c r="AP52" s="127">
        <v>203.47200000000001</v>
      </c>
      <c r="AQ52" s="127">
        <v>176.91200000000001</v>
      </c>
      <c r="AR52" s="127">
        <v>197.40799999999999</v>
      </c>
      <c r="AS52" s="127">
        <v>246.24799999999999</v>
      </c>
      <c r="AT52" s="127">
        <v>200.05600000000001</v>
      </c>
      <c r="AU52" s="127">
        <v>223.041</v>
      </c>
      <c r="AV52" s="127">
        <v>230.71199999999999</v>
      </c>
      <c r="AW52" s="127">
        <v>330.072</v>
      </c>
      <c r="AX52" s="127">
        <v>381.76900000000001</v>
      </c>
      <c r="AY52" s="127">
        <v>387.46899999999999</v>
      </c>
      <c r="AZ52" s="127">
        <v>406.29700000000003</v>
      </c>
      <c r="BA52" s="127">
        <v>453.74299999999999</v>
      </c>
      <c r="BB52" s="127">
        <v>451.274</v>
      </c>
      <c r="BC52" s="127">
        <v>319.64400000000001</v>
      </c>
      <c r="BD52" s="127">
        <v>288.09300000000002</v>
      </c>
      <c r="BE52" s="538">
        <v>306.12099999999998</v>
      </c>
      <c r="BF52" s="538">
        <v>317.01600000000002</v>
      </c>
      <c r="BG52" s="538">
        <v>235.97</v>
      </c>
      <c r="BH52" s="538">
        <v>353.24</v>
      </c>
      <c r="BI52" s="538">
        <v>370.851</v>
      </c>
      <c r="BJ52" s="538">
        <v>456.12400000000002</v>
      </c>
      <c r="BK52" s="538">
        <v>411.86099999999999</v>
      </c>
      <c r="BL52" s="538">
        <v>548.68499999999995</v>
      </c>
      <c r="BM52" s="538">
        <v>596.66600000000005</v>
      </c>
      <c r="BN52" s="538">
        <v>634.08399999999995</v>
      </c>
      <c r="BO52" s="538">
        <v>717.23099999999999</v>
      </c>
      <c r="BP52" s="538">
        <v>822.505</v>
      </c>
      <c r="BQ52" s="538">
        <v>821.49300000000005</v>
      </c>
      <c r="BR52" s="538">
        <v>903.63400000000001</v>
      </c>
      <c r="BS52" s="538"/>
      <c r="BT52" s="538"/>
      <c r="BW52" s="1118" t="s">
        <v>466</v>
      </c>
      <c r="CB52" s="132"/>
      <c r="CC52" s="9"/>
    </row>
    <row r="53" spans="2:84">
      <c r="B53" s="115"/>
      <c r="C53" t="s">
        <v>488</v>
      </c>
      <c r="H53" s="127">
        <v>76.55</v>
      </c>
      <c r="I53" s="127">
        <v>123.07299999999999</v>
      </c>
      <c r="J53" s="127">
        <v>74.165999999999997</v>
      </c>
      <c r="K53" s="127">
        <v>66.557000000000002</v>
      </c>
      <c r="L53" s="127">
        <v>68.367000000000004</v>
      </c>
      <c r="M53" s="127">
        <v>123.738</v>
      </c>
      <c r="N53" s="127">
        <v>64.304000000000002</v>
      </c>
      <c r="O53" s="127">
        <v>63.515000000000001</v>
      </c>
      <c r="P53" s="127">
        <v>77.263999999999996</v>
      </c>
      <c r="Q53" s="127">
        <v>115.616</v>
      </c>
      <c r="R53" s="127">
        <v>64.275999999999996</v>
      </c>
      <c r="S53" s="127">
        <v>50.98</v>
      </c>
      <c r="T53" s="127">
        <v>51.716999999999999</v>
      </c>
      <c r="U53" s="127">
        <v>76.644000000000005</v>
      </c>
      <c r="V53" s="127">
        <v>51.131999999999998</v>
      </c>
      <c r="W53" s="127">
        <v>51.212000000000003</v>
      </c>
      <c r="X53" s="127">
        <v>64.149000000000001</v>
      </c>
      <c r="Y53" s="127"/>
      <c r="Z53" s="127"/>
      <c r="AA53" s="127"/>
      <c r="AB53" s="127"/>
      <c r="AC53" s="127"/>
      <c r="AD53" s="127"/>
      <c r="AE53" s="127"/>
      <c r="AF53" s="127"/>
      <c r="AG53" s="127"/>
      <c r="AH53" s="127"/>
      <c r="AI53" s="127"/>
      <c r="AJ53" s="127"/>
      <c r="AK53" s="127"/>
      <c r="AL53" s="127"/>
      <c r="AM53" s="127"/>
      <c r="AN53" s="127"/>
      <c r="AO53" s="127">
        <v>28.443000000000001</v>
      </c>
      <c r="AP53" s="127">
        <v>27.236000000000001</v>
      </c>
      <c r="AQ53" s="127">
        <v>26.295000000000002</v>
      </c>
      <c r="AR53" s="127">
        <v>33.789000000000001</v>
      </c>
      <c r="AS53" s="127">
        <v>36.177999999999997</v>
      </c>
      <c r="AT53" s="127">
        <v>24.632999999999999</v>
      </c>
      <c r="AU53" s="127">
        <v>34.542999999999999</v>
      </c>
      <c r="AV53" s="127">
        <v>50.366</v>
      </c>
      <c r="AW53" s="127">
        <v>79.814999999999998</v>
      </c>
      <c r="AX53" s="127">
        <v>82.881</v>
      </c>
      <c r="AY53" s="127">
        <v>76.329800000000006</v>
      </c>
      <c r="AZ53" s="127">
        <v>78.867999999999995</v>
      </c>
      <c r="BA53" s="127">
        <v>82.238</v>
      </c>
      <c r="BB53" s="127">
        <v>97.513999999999996</v>
      </c>
      <c r="BC53" s="127">
        <v>157.91399999999999</v>
      </c>
      <c r="BD53" s="127">
        <v>156.607</v>
      </c>
      <c r="BE53" s="538">
        <v>183.392</v>
      </c>
      <c r="BF53" s="538">
        <v>193.56800000000001</v>
      </c>
      <c r="BG53" s="538">
        <v>152.37200000000001</v>
      </c>
      <c r="BH53" s="538">
        <v>161.79300000000001</v>
      </c>
      <c r="BI53" s="538">
        <v>197.74299999999999</v>
      </c>
      <c r="BJ53" s="538">
        <v>196.46899999999999</v>
      </c>
      <c r="BK53" s="538">
        <v>189.42599999999999</v>
      </c>
      <c r="BL53" s="538">
        <v>213.904</v>
      </c>
      <c r="BM53" s="538">
        <v>296.37599999999998</v>
      </c>
      <c r="BN53" s="538">
        <v>218.637</v>
      </c>
      <c r="BO53" s="538">
        <v>244.70500000000001</v>
      </c>
      <c r="BP53" s="538">
        <v>261.58499999999998</v>
      </c>
      <c r="BQ53" s="538">
        <v>313.76799999999997</v>
      </c>
      <c r="BR53" s="538">
        <v>282.00799999999998</v>
      </c>
      <c r="BS53" s="538"/>
      <c r="BT53" s="538"/>
      <c r="BW53" s="1118" t="s">
        <v>466</v>
      </c>
      <c r="CB53" s="17"/>
      <c r="CC53" s="9"/>
    </row>
    <row r="54" spans="2:84">
      <c r="B54" s="115"/>
      <c r="C54" t="s">
        <v>276</v>
      </c>
      <c r="H54" s="127"/>
      <c r="I54" s="127"/>
      <c r="J54" s="127"/>
      <c r="K54" s="127"/>
      <c r="L54" s="127"/>
      <c r="M54" s="127"/>
      <c r="N54" s="127"/>
      <c r="O54" s="127"/>
      <c r="P54" s="127"/>
      <c r="Q54" s="127"/>
      <c r="R54" s="127"/>
      <c r="S54" s="127"/>
      <c r="T54" s="127"/>
      <c r="U54" s="127"/>
      <c r="V54" s="127"/>
      <c r="W54" s="127"/>
      <c r="X54" s="127"/>
      <c r="Y54" s="127">
        <v>114.372</v>
      </c>
      <c r="Z54" s="127">
        <v>82.381</v>
      </c>
      <c r="AA54" s="127">
        <v>74.244</v>
      </c>
      <c r="AB54" s="127">
        <v>76.106999999999999</v>
      </c>
      <c r="AC54" s="127">
        <v>87.32</v>
      </c>
      <c r="AD54" s="127">
        <v>63.923000000000002</v>
      </c>
      <c r="AE54" s="127">
        <v>68.742000000000004</v>
      </c>
      <c r="AF54" s="127">
        <v>69.822999999999993</v>
      </c>
      <c r="AG54" s="127">
        <v>102.36</v>
      </c>
      <c r="AH54" s="127">
        <v>63.530999999999999</v>
      </c>
      <c r="AI54" s="127">
        <v>61.655999999999999</v>
      </c>
      <c r="AJ54" s="127">
        <v>64.744</v>
      </c>
      <c r="AK54" s="127">
        <v>82.043999999999997</v>
      </c>
      <c r="AL54" s="127">
        <v>50.610999999999997</v>
      </c>
      <c r="AM54" s="127">
        <v>43.685000000000002</v>
      </c>
      <c r="AN54" s="127">
        <v>50.927999999999997</v>
      </c>
      <c r="AO54" s="127">
        <v>65.864000000000004</v>
      </c>
      <c r="AP54" s="127">
        <v>48.725999999999999</v>
      </c>
      <c r="AQ54" s="127">
        <v>50.093000000000004</v>
      </c>
      <c r="AR54" s="127">
        <v>60.802</v>
      </c>
      <c r="AS54" s="127">
        <v>88.578000000000003</v>
      </c>
      <c r="AT54" s="127">
        <v>49.302999999999997</v>
      </c>
      <c r="AU54" s="127">
        <v>50.774000000000001</v>
      </c>
      <c r="AV54" s="127">
        <v>6.97</v>
      </c>
      <c r="AW54" s="127">
        <v>75.126000000000005</v>
      </c>
      <c r="AX54" s="127">
        <v>52.154000000000003</v>
      </c>
      <c r="AY54" s="127">
        <v>43.517000000000003</v>
      </c>
      <c r="AZ54" s="127">
        <v>48.168999999999997</v>
      </c>
      <c r="BA54" s="127">
        <v>67.269000000000005</v>
      </c>
      <c r="BB54" s="127">
        <v>51.31</v>
      </c>
      <c r="BC54" s="127">
        <v>41.598999999999997</v>
      </c>
      <c r="BD54" s="127">
        <v>34.956000000000003</v>
      </c>
      <c r="BE54" s="538">
        <v>51.890999999999998</v>
      </c>
      <c r="BF54" s="538">
        <v>27.927</v>
      </c>
      <c r="BG54" s="538">
        <v>17.364999999999998</v>
      </c>
      <c r="BH54" s="538">
        <v>17.216000000000001</v>
      </c>
      <c r="BI54" s="538">
        <v>22.986000000000001</v>
      </c>
      <c r="BJ54" s="538">
        <v>14.775</v>
      </c>
      <c r="BK54" s="538">
        <v>13.925000000000001</v>
      </c>
      <c r="BL54" s="538">
        <v>14.038</v>
      </c>
      <c r="BM54" s="538">
        <v>17.716000000000001</v>
      </c>
      <c r="BN54" s="538">
        <v>11.492000000000001</v>
      </c>
      <c r="BO54" s="538">
        <v>12.574</v>
      </c>
      <c r="BP54" s="538">
        <v>45.084000000000003</v>
      </c>
      <c r="BQ54" s="538">
        <f>41.475-1.203</f>
        <v>40.271999999999998</v>
      </c>
      <c r="BR54" s="538">
        <v>33.865000000000002</v>
      </c>
      <c r="BS54" s="538"/>
      <c r="BT54" s="538"/>
      <c r="BW54" s="1118" t="s">
        <v>466</v>
      </c>
      <c r="CB54" s="132"/>
      <c r="CC54" s="9"/>
    </row>
    <row r="55" spans="2:84" ht="15" thickBot="1">
      <c r="D55" s="114" t="s">
        <v>251</v>
      </c>
      <c r="H55" s="134">
        <f t="shared" ref="H55:X55" si="61">SUM(H51:H53)</f>
        <v>902.95899999999995</v>
      </c>
      <c r="I55" s="134">
        <f t="shared" si="61"/>
        <v>1113.6670000000001</v>
      </c>
      <c r="J55" s="134">
        <f t="shared" si="61"/>
        <v>1135.4999999999998</v>
      </c>
      <c r="K55" s="134">
        <f t="shared" si="61"/>
        <v>1060.0439999999999</v>
      </c>
      <c r="L55" s="134">
        <f t="shared" si="61"/>
        <v>955.84199999999998</v>
      </c>
      <c r="M55" s="134">
        <f t="shared" si="61"/>
        <v>1187.682</v>
      </c>
      <c r="N55" s="134">
        <f t="shared" si="61"/>
        <v>1193.8870000000002</v>
      </c>
      <c r="O55" s="134">
        <f t="shared" si="61"/>
        <v>1091.6750000000002</v>
      </c>
      <c r="P55" s="134">
        <f t="shared" si="61"/>
        <v>1239.0039999999999</v>
      </c>
      <c r="Q55" s="134">
        <f t="shared" si="61"/>
        <v>1365.2829999999997</v>
      </c>
      <c r="R55" s="134">
        <f t="shared" si="61"/>
        <v>1317.701</v>
      </c>
      <c r="S55" s="134">
        <f t="shared" si="61"/>
        <v>1248.741</v>
      </c>
      <c r="T55" s="134">
        <f t="shared" si="61"/>
        <v>1277.0570000000002</v>
      </c>
      <c r="U55" s="134">
        <f t="shared" si="61"/>
        <v>1410.8440000000001</v>
      </c>
      <c r="V55" s="134">
        <f t="shared" si="61"/>
        <v>1439.184</v>
      </c>
      <c r="W55" s="134">
        <f t="shared" si="61"/>
        <v>1376.521</v>
      </c>
      <c r="X55" s="134">
        <f t="shared" si="61"/>
        <v>1455.779</v>
      </c>
      <c r="Y55" s="134">
        <f>SUM(Y51:Y54)</f>
        <v>1514.751</v>
      </c>
      <c r="Z55" s="134">
        <f t="shared" ref="Z55:AM55" si="62">SUM(Z51:Z54)</f>
        <v>1566.7550000000001</v>
      </c>
      <c r="AA55" s="134">
        <f t="shared" si="62"/>
        <v>1366.78</v>
      </c>
      <c r="AB55" s="134">
        <f t="shared" si="62"/>
        <v>1408.5620000000001</v>
      </c>
      <c r="AC55" s="134">
        <f t="shared" si="62"/>
        <v>1375.884</v>
      </c>
      <c r="AD55" s="134">
        <f t="shared" si="62"/>
        <v>1469.6280000000002</v>
      </c>
      <c r="AE55" s="134">
        <f t="shared" si="62"/>
        <v>1341.2170000000001</v>
      </c>
      <c r="AF55" s="134">
        <f t="shared" si="62"/>
        <v>1407.59</v>
      </c>
      <c r="AG55" s="134">
        <f t="shared" si="62"/>
        <v>1585.2846060852157</v>
      </c>
      <c r="AH55" s="134">
        <f t="shared" si="62"/>
        <v>1572.846</v>
      </c>
      <c r="AI55" s="134">
        <f t="shared" si="62"/>
        <v>1431.211</v>
      </c>
      <c r="AJ55" s="134">
        <f t="shared" si="62"/>
        <v>1602.876</v>
      </c>
      <c r="AK55" s="134">
        <f t="shared" si="62"/>
        <v>1783.046</v>
      </c>
      <c r="AL55" s="134">
        <f t="shared" si="62"/>
        <v>1758.9070000000002</v>
      </c>
      <c r="AM55" s="134">
        <f t="shared" si="62"/>
        <v>1762.4449999999999</v>
      </c>
      <c r="AN55" s="134">
        <f>SUM(AN51:AN54)</f>
        <v>1735.681</v>
      </c>
      <c r="AO55" s="134">
        <f t="shared" ref="AO55:BC55" si="63">SUM(AO51:AO54)</f>
        <v>1757.0470000000003</v>
      </c>
      <c r="AP55" s="134">
        <f t="shared" si="63"/>
        <v>1937.4270000000001</v>
      </c>
      <c r="AQ55" s="134">
        <f t="shared" si="63"/>
        <v>1855.6950000000002</v>
      </c>
      <c r="AR55" s="134">
        <f t="shared" si="63"/>
        <v>1982.9869999999996</v>
      </c>
      <c r="AS55" s="134">
        <f t="shared" si="63"/>
        <v>2245.66</v>
      </c>
      <c r="AT55" s="134">
        <f t="shared" si="63"/>
        <v>1686.4690000000001</v>
      </c>
      <c r="AU55" s="134">
        <f t="shared" si="63"/>
        <v>1840.9989999999998</v>
      </c>
      <c r="AV55" s="134">
        <f t="shared" si="63"/>
        <v>2069.3849999999998</v>
      </c>
      <c r="AW55" s="134">
        <f t="shared" si="63"/>
        <v>2853.4580000000005</v>
      </c>
      <c r="AX55" s="134">
        <f t="shared" si="63"/>
        <v>3040.2269999999999</v>
      </c>
      <c r="AY55" s="134">
        <f t="shared" si="63"/>
        <v>2790.4287999999997</v>
      </c>
      <c r="AZ55" s="134">
        <f t="shared" si="63"/>
        <v>3019.0450000000001</v>
      </c>
      <c r="BA55" s="134">
        <f t="shared" si="63"/>
        <v>3065.3949999999995</v>
      </c>
      <c r="BB55" s="134">
        <f t="shared" si="63"/>
        <v>2689.5699999999997</v>
      </c>
      <c r="BC55" s="134">
        <f t="shared" si="63"/>
        <v>2161.46</v>
      </c>
      <c r="BD55" s="134">
        <f>SUM(BD51:BD54)</f>
        <v>2092.5440000000003</v>
      </c>
      <c r="BE55" s="543">
        <f t="shared" ref="BE55:BL55" si="64">SUM(BE51:BE54)</f>
        <v>2299.9839999999999</v>
      </c>
      <c r="BF55" s="543">
        <f t="shared" si="64"/>
        <v>2381.6110000000003</v>
      </c>
      <c r="BG55" s="543">
        <f t="shared" si="64"/>
        <v>2174.183</v>
      </c>
      <c r="BH55" s="543">
        <f t="shared" si="64"/>
        <v>2355.9359999999997</v>
      </c>
      <c r="BI55" s="543">
        <f t="shared" si="64"/>
        <v>2770.35</v>
      </c>
      <c r="BJ55" s="543">
        <f t="shared" si="64"/>
        <v>3082.9450000000002</v>
      </c>
      <c r="BK55" s="543">
        <f t="shared" si="64"/>
        <v>2905.1200000000003</v>
      </c>
      <c r="BL55" s="543">
        <f t="shared" si="64"/>
        <v>3320.5279999999998</v>
      </c>
      <c r="BM55" s="543">
        <f t="shared" ref="BM55:BP55" si="65">SUM(BM51:BM54)</f>
        <v>3559.3489999999997</v>
      </c>
      <c r="BN55" s="543">
        <f t="shared" si="65"/>
        <v>3548.3720000000003</v>
      </c>
      <c r="BO55" s="543">
        <f t="shared" si="65"/>
        <v>3711.9100000000003</v>
      </c>
      <c r="BP55" s="543">
        <f t="shared" si="65"/>
        <v>4110.5529999999999</v>
      </c>
      <c r="BQ55" s="543">
        <f t="shared" ref="BQ55:BR55" si="66">SUM(BQ51:BQ54)</f>
        <v>4331.7629999999999</v>
      </c>
      <c r="BR55" s="543">
        <f t="shared" si="66"/>
        <v>4357.3220000000001</v>
      </c>
      <c r="BS55" s="543">
        <f t="shared" ref="BS55:BT55" si="67">SUM(BS51:BS54)</f>
        <v>0</v>
      </c>
      <c r="BT55" s="543">
        <f t="shared" si="67"/>
        <v>0</v>
      </c>
      <c r="CB55" s="17"/>
      <c r="CC55" s="9"/>
    </row>
    <row r="56" spans="2:84" ht="15" thickTop="1">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544"/>
      <c r="BF56" s="544"/>
      <c r="BG56" s="544"/>
      <c r="BH56" s="544"/>
      <c r="BI56" s="544"/>
      <c r="BJ56" s="544"/>
      <c r="BK56" s="544"/>
      <c r="BL56" s="544"/>
      <c r="BM56" s="544"/>
      <c r="BN56" s="544"/>
      <c r="BO56" s="544"/>
      <c r="BP56" s="544"/>
      <c r="BQ56" s="544"/>
      <c r="BR56" s="544"/>
      <c r="BS56" s="544"/>
      <c r="BT56" s="544"/>
      <c r="CB56" s="17"/>
      <c r="CC56" s="9"/>
    </row>
    <row r="57" spans="2:84">
      <c r="B57" t="s">
        <v>489</v>
      </c>
      <c r="H57" s="125"/>
      <c r="I57" s="125">
        <f t="shared" ref="I57:BE57" si="68">+H63</f>
        <v>34869.313346655159</v>
      </c>
      <c r="J57" s="125">
        <f t="shared" si="68"/>
        <v>36187.455346655159</v>
      </c>
      <c r="K57" s="125">
        <f t="shared" si="68"/>
        <v>36019.570346655164</v>
      </c>
      <c r="L57" s="125">
        <f t="shared" si="68"/>
        <v>31623.12434665516</v>
      </c>
      <c r="M57" s="125">
        <f t="shared" si="68"/>
        <v>33663.883337055166</v>
      </c>
      <c r="N57" s="125">
        <f t="shared" si="68"/>
        <v>36278.600668035979</v>
      </c>
      <c r="O57" s="125">
        <f t="shared" si="68"/>
        <v>35285.691155407636</v>
      </c>
      <c r="P57" s="125">
        <f t="shared" si="68"/>
        <v>36903.369684277815</v>
      </c>
      <c r="Q57" s="125">
        <f t="shared" si="68"/>
        <v>37386.489145634863</v>
      </c>
      <c r="R57" s="125">
        <f t="shared" si="68"/>
        <v>39852.8378981157</v>
      </c>
      <c r="S57" s="125">
        <f t="shared" si="68"/>
        <v>40166.446236218522</v>
      </c>
      <c r="T57" s="125">
        <f t="shared" si="68"/>
        <v>42176.846951446554</v>
      </c>
      <c r="U57" s="125">
        <f t="shared" si="68"/>
        <v>44990.223708052014</v>
      </c>
      <c r="V57" s="125">
        <f t="shared" si="68"/>
        <v>45838.759708052021</v>
      </c>
      <c r="W57" s="125">
        <f t="shared" si="68"/>
        <v>48008.266708052026</v>
      </c>
      <c r="X57" s="125">
        <f t="shared" si="68"/>
        <v>47399.180708052023</v>
      </c>
      <c r="Y57" s="125">
        <f t="shared" si="68"/>
        <v>48655.88270805202</v>
      </c>
      <c r="Z57" s="125">
        <f t="shared" si="68"/>
        <v>49194.704708052021</v>
      </c>
      <c r="AA57" s="125">
        <f t="shared" si="68"/>
        <v>49371.735708052023</v>
      </c>
      <c r="AB57" s="125">
        <f t="shared" si="68"/>
        <v>45847.955223897312</v>
      </c>
      <c r="AC57" s="125">
        <f>+AB63</f>
        <v>47352.767097337855</v>
      </c>
      <c r="AD57" s="125">
        <f t="shared" si="68"/>
        <v>48174.04382972137</v>
      </c>
      <c r="AE57" s="125">
        <f t="shared" si="68"/>
        <v>49372.02882972137</v>
      </c>
      <c r="AF57" s="125">
        <f t="shared" si="68"/>
        <v>51334.382829721369</v>
      </c>
      <c r="AG57" s="125">
        <f t="shared" si="68"/>
        <v>52338.8718990251</v>
      </c>
      <c r="AH57" s="125">
        <f t="shared" si="68"/>
        <v>54924.708561847954</v>
      </c>
      <c r="AI57" s="125">
        <f t="shared" si="68"/>
        <v>56590.893561847952</v>
      </c>
      <c r="AJ57" s="125">
        <f t="shared" si="68"/>
        <v>58670.713561847951</v>
      </c>
      <c r="AK57" s="125">
        <f t="shared" si="68"/>
        <v>61167.270561847952</v>
      </c>
      <c r="AL57" s="125">
        <f t="shared" si="68"/>
        <v>60820.964561847955</v>
      </c>
      <c r="AM57" s="125">
        <f t="shared" si="68"/>
        <v>61776.98956184795</v>
      </c>
      <c r="AN57" s="125">
        <f t="shared" si="68"/>
        <v>64233.965561847952</v>
      </c>
      <c r="AO57" s="125">
        <f t="shared" si="68"/>
        <v>57703.984561847959</v>
      </c>
      <c r="AP57" s="125">
        <f t="shared" si="68"/>
        <v>63602.279561847958</v>
      </c>
      <c r="AQ57" s="125">
        <f t="shared" si="68"/>
        <v>65877.640561847962</v>
      </c>
      <c r="AR57" s="125">
        <f t="shared" si="68"/>
        <v>66222.111561847953</v>
      </c>
      <c r="AS57" s="125">
        <f t="shared" si="68"/>
        <v>70537.001561847937</v>
      </c>
      <c r="AT57" s="125">
        <f t="shared" si="68"/>
        <v>59035.96756184793</v>
      </c>
      <c r="AU57" s="125">
        <f t="shared" si="68"/>
        <v>68223.86056184792</v>
      </c>
      <c r="AV57" s="125">
        <f t="shared" si="68"/>
        <v>72605.880561847924</v>
      </c>
      <c r="AW57" s="125">
        <f t="shared" si="68"/>
        <v>81532.737561847913</v>
      </c>
      <c r="AX57" s="125">
        <f t="shared" si="68"/>
        <v>85888.053561847904</v>
      </c>
      <c r="AY57" s="125">
        <f t="shared" si="68"/>
        <v>91734.979561847911</v>
      </c>
      <c r="AZ57" s="125">
        <f t="shared" si="68"/>
        <v>91765.131561847913</v>
      </c>
      <c r="BA57" s="125">
        <f t="shared" si="68"/>
        <v>97312.193561847904</v>
      </c>
      <c r="BB57" s="125">
        <f t="shared" si="68"/>
        <v>93708.132561847902</v>
      </c>
      <c r="BC57" s="125">
        <f t="shared" si="68"/>
        <v>82291.020561847894</v>
      </c>
      <c r="BD57" s="125">
        <f t="shared" si="68"/>
        <v>78737.450561847887</v>
      </c>
      <c r="BE57" s="536">
        <f t="shared" si="68"/>
        <v>83948.820561847882</v>
      </c>
      <c r="BF57" s="536">
        <f>+BE63</f>
        <v>87620.897561847887</v>
      </c>
      <c r="BG57" s="536">
        <f>+BF63</f>
        <v>91645.542561847877</v>
      </c>
      <c r="BH57" s="536">
        <f>+BG63</f>
        <v>88440.658561847871</v>
      </c>
      <c r="BI57" s="536">
        <f t="shared" ref="BI57:BL57" si="69">+BH63</f>
        <v>96734.652561847877</v>
      </c>
      <c r="BJ57" s="536">
        <f t="shared" si="69"/>
        <v>103340.24056184788</v>
      </c>
      <c r="BK57" s="536">
        <f t="shared" si="69"/>
        <v>105112.14556184788</v>
      </c>
      <c r="BL57" s="536">
        <f t="shared" si="69"/>
        <v>111246.51400000001</v>
      </c>
      <c r="BM57" s="536">
        <f t="shared" ref="BM57" si="70">+BL63</f>
        <v>112080.68000000001</v>
      </c>
      <c r="BN57" s="536">
        <f t="shared" ref="BN57" si="71">+BM63</f>
        <v>109907.61199999999</v>
      </c>
      <c r="BO57" s="536">
        <f t="shared" ref="BO57" si="72">+BN63</f>
        <v>120224.48899999999</v>
      </c>
      <c r="BP57" s="536">
        <f t="shared" ref="BP57:BT57" si="73">+BO63</f>
        <v>126793.30399999999</v>
      </c>
      <c r="BQ57" s="536">
        <f t="shared" si="73"/>
        <v>128890.86199999999</v>
      </c>
      <c r="BR57" s="536">
        <f t="shared" si="73"/>
        <v>126761.967</v>
      </c>
      <c r="BS57" s="536">
        <f t="shared" si="73"/>
        <v>140041.606</v>
      </c>
      <c r="BT57" s="536">
        <f t="shared" si="73"/>
        <v>140041.606</v>
      </c>
      <c r="CA57" s="1053"/>
      <c r="CB57" s="9"/>
      <c r="CC57" s="9"/>
    </row>
    <row r="58" spans="2:84">
      <c r="C58" t="s">
        <v>282</v>
      </c>
      <c r="H58" s="118">
        <v>902.947</v>
      </c>
      <c r="I58" s="118">
        <v>1113.6669999999999</v>
      </c>
      <c r="J58" s="118">
        <v>1135.5</v>
      </c>
      <c r="K58" s="118">
        <v>1060.0440000000001</v>
      </c>
      <c r="L58" s="118">
        <v>955.84199999999998</v>
      </c>
      <c r="M58" s="118">
        <v>1187.682</v>
      </c>
      <c r="N58" s="118">
        <v>1193.8869999999999</v>
      </c>
      <c r="O58" s="118">
        <v>1091.675</v>
      </c>
      <c r="P58" s="118">
        <v>1239.0039999999999</v>
      </c>
      <c r="Q58" s="118">
        <v>1365.2829999999999</v>
      </c>
      <c r="R58" s="118">
        <v>1317.701</v>
      </c>
      <c r="S58" s="118">
        <v>1248.741</v>
      </c>
      <c r="T58" s="118">
        <v>1277.057</v>
      </c>
      <c r="U58" s="118">
        <v>1410.8440000000001</v>
      </c>
      <c r="V58" s="118">
        <v>1439.184</v>
      </c>
      <c r="W58" s="118">
        <v>1376.521</v>
      </c>
      <c r="X58" s="118">
        <v>1455.779</v>
      </c>
      <c r="Y58" s="118">
        <v>1514.75</v>
      </c>
      <c r="Z58" s="118">
        <v>1566.7539999999999</v>
      </c>
      <c r="AA58" s="118">
        <v>1366.7799984412354</v>
      </c>
      <c r="AB58" s="118">
        <v>1408.56148485023</v>
      </c>
      <c r="AC58" s="118">
        <v>1375.8832404434108</v>
      </c>
      <c r="AD58" s="118">
        <v>1469.6289999999999</v>
      </c>
      <c r="AE58" s="118">
        <v>1341.2180000000001</v>
      </c>
      <c r="AF58" s="118">
        <v>1407.5909999999999</v>
      </c>
      <c r="AG58" s="118">
        <v>1585.2840456635349</v>
      </c>
      <c r="AH58" s="118">
        <v>1572.847</v>
      </c>
      <c r="AI58" s="118">
        <v>1431.211</v>
      </c>
      <c r="AJ58" s="118">
        <v>1602.877</v>
      </c>
      <c r="AK58" s="118">
        <v>1783.0440000000001</v>
      </c>
      <c r="AL58" s="118">
        <v>1758.9069999999999</v>
      </c>
      <c r="AM58" s="118">
        <v>1762.4459999999999</v>
      </c>
      <c r="AN58" s="118">
        <v>1735.682</v>
      </c>
      <c r="AO58" s="118">
        <v>1757.047</v>
      </c>
      <c r="AP58" s="118">
        <v>1937.4269999999999</v>
      </c>
      <c r="AQ58" s="118">
        <v>1855.6949999999999</v>
      </c>
      <c r="AR58" s="118">
        <v>1982.9880000000001</v>
      </c>
      <c r="AS58" s="118">
        <v>2245.66</v>
      </c>
      <c r="AT58" s="118">
        <v>1686.4680000000001</v>
      </c>
      <c r="AU58" s="118">
        <v>1840.998</v>
      </c>
      <c r="AV58" s="118">
        <v>2069.386</v>
      </c>
      <c r="AW58" s="118">
        <v>2853.4580000000001</v>
      </c>
      <c r="AX58" s="118">
        <v>3040.2280000000001</v>
      </c>
      <c r="AY58" s="118">
        <v>2790.3969999999999</v>
      </c>
      <c r="AZ58" s="118">
        <v>3019.0439999999999</v>
      </c>
      <c r="BA58" s="118">
        <v>3065.395</v>
      </c>
      <c r="BB58" s="118">
        <v>2689.57</v>
      </c>
      <c r="BC58" s="118">
        <v>2161.46</v>
      </c>
      <c r="BD58" s="118">
        <v>2092.5450000000001</v>
      </c>
      <c r="BE58" s="529">
        <v>2299.9830000000002</v>
      </c>
      <c r="BF58" s="529">
        <v>2381.6129999999998</v>
      </c>
      <c r="BG58" s="529">
        <v>2174.183</v>
      </c>
      <c r="BH58" s="529">
        <v>2355.9360000000001</v>
      </c>
      <c r="BI58" s="529">
        <v>2770.35</v>
      </c>
      <c r="BJ58" s="529">
        <v>3082.944</v>
      </c>
      <c r="BK58" s="529">
        <v>2905.12</v>
      </c>
      <c r="BL58" s="529">
        <v>3320.5279999999998</v>
      </c>
      <c r="BM58" s="529">
        <v>3559.348</v>
      </c>
      <c r="BN58" s="529">
        <v>3548.37</v>
      </c>
      <c r="BO58" s="529">
        <v>3711.91</v>
      </c>
      <c r="BP58" s="529">
        <v>4110.5519999999997</v>
      </c>
      <c r="BQ58" s="529">
        <v>4331.7640000000001</v>
      </c>
      <c r="BR58" s="529">
        <v>4357.3220000000001</v>
      </c>
      <c r="BS58" s="529"/>
      <c r="BT58" s="529"/>
      <c r="BW58" s="1118" t="s">
        <v>490</v>
      </c>
      <c r="BX58" s="1118"/>
      <c r="BY58" s="1118"/>
      <c r="BZ58" s="1118"/>
      <c r="CB58" s="9"/>
      <c r="CC58" s="9"/>
    </row>
    <row r="59" spans="2:84">
      <c r="C59" s="114" t="s">
        <v>491</v>
      </c>
      <c r="H59" s="118">
        <v>-934.46589400000005</v>
      </c>
      <c r="I59" s="118">
        <v>-1057.9630356999999</v>
      </c>
      <c r="J59" s="118">
        <v>-1112.5281499</v>
      </c>
      <c r="K59" s="118">
        <v>-1085.2987624999998</v>
      </c>
      <c r="L59" s="118">
        <v>-973.23300959999995</v>
      </c>
      <c r="M59" s="118">
        <v>-1207.9986690191899</v>
      </c>
      <c r="N59" s="118">
        <v>-1122.9745126283401</v>
      </c>
      <c r="O59" s="118">
        <v>-998.74347112982014</v>
      </c>
      <c r="P59" s="118">
        <v>-1040.5065386429499</v>
      </c>
      <c r="Q59" s="118">
        <v>-1282.95024751916</v>
      </c>
      <c r="R59" s="118">
        <v>-1164.6866618971801</v>
      </c>
      <c r="S59" s="118">
        <v>-1139.55728477197</v>
      </c>
      <c r="T59" s="118">
        <v>-1146.1272433945401</v>
      </c>
      <c r="U59" s="118">
        <v>-1245.768</v>
      </c>
      <c r="V59" s="118">
        <v>-1211.1510000000001</v>
      </c>
      <c r="W59" s="118">
        <v>-1205.9659999999999</v>
      </c>
      <c r="X59" s="118">
        <v>-1160.577</v>
      </c>
      <c r="Y59" s="118">
        <v>-1245.58</v>
      </c>
      <c r="Z59" s="118">
        <v>-1266.5640000000001</v>
      </c>
      <c r="AA59" s="118">
        <v>-1167.8518461869521</v>
      </c>
      <c r="AB59" s="118">
        <v>-1163.4908062337199</v>
      </c>
      <c r="AC59" s="118">
        <v>-1153.022302826944</v>
      </c>
      <c r="AD59" s="118">
        <v>-1222.491</v>
      </c>
      <c r="AE59" s="118">
        <v>-1140.625</v>
      </c>
      <c r="AF59" s="118">
        <v>-1103.6099999999999</v>
      </c>
      <c r="AG59" s="118">
        <v>-1265.5194205649868</v>
      </c>
      <c r="AH59" s="118">
        <v>-1317.846</v>
      </c>
      <c r="AI59" s="118">
        <v>-1257.6869999999999</v>
      </c>
      <c r="AJ59" s="118">
        <v>-1305.538</v>
      </c>
      <c r="AK59" s="118">
        <v>-1571.146</v>
      </c>
      <c r="AL59" s="118">
        <v>-1498.288</v>
      </c>
      <c r="AM59" s="118">
        <v>-1498.817</v>
      </c>
      <c r="AN59" s="118">
        <v>-1376.06</v>
      </c>
      <c r="AO59" s="118">
        <v>-1530.136</v>
      </c>
      <c r="AP59" s="118">
        <v>-1632.8610000000001</v>
      </c>
      <c r="AQ59" s="118">
        <v>-1669.337</v>
      </c>
      <c r="AR59" s="118">
        <v>-1595.5309999999999</v>
      </c>
      <c r="AS59" s="118">
        <v>-1703.1120000000001</v>
      </c>
      <c r="AT59" s="118">
        <v>-1073.8510000000001</v>
      </c>
      <c r="AU59" s="118">
        <v>-1333.471</v>
      </c>
      <c r="AV59" s="118">
        <v>-1427.171</v>
      </c>
      <c r="AW59" s="118">
        <v>-1758.8219999999999</v>
      </c>
      <c r="AX59" s="118">
        <v>-1826.4590000000001</v>
      </c>
      <c r="AY59" s="118">
        <v>-1755.924</v>
      </c>
      <c r="AZ59" s="118">
        <v>-1819.415</v>
      </c>
      <c r="BA59" s="118">
        <v>-1899.5830000000001</v>
      </c>
      <c r="BB59" s="118">
        <v>-1796.9760000000001</v>
      </c>
      <c r="BC59" s="118">
        <v>-1447.136</v>
      </c>
      <c r="BD59" s="118">
        <v>-1443.6659999999999</v>
      </c>
      <c r="BE59" s="529">
        <v>-1841.2619999999999</v>
      </c>
      <c r="BF59" s="529">
        <v>-2032.913</v>
      </c>
      <c r="BG59" s="529">
        <v>-2134.2159999999999</v>
      </c>
      <c r="BH59" s="529">
        <v>-2345.489</v>
      </c>
      <c r="BI59" s="529">
        <v>-2694.3969999999999</v>
      </c>
      <c r="BJ59" s="529">
        <v>-2856.4090000000001</v>
      </c>
      <c r="BK59" s="529">
        <v>-2650.2559999999999</v>
      </c>
      <c r="BL59" s="529">
        <v>-2803.692</v>
      </c>
      <c r="BM59" s="529">
        <v>-3016.933</v>
      </c>
      <c r="BN59" s="529">
        <v>-3061.8560000000002</v>
      </c>
      <c r="BO59" s="529">
        <v>-3348.8960000000002</v>
      </c>
      <c r="BP59" s="529">
        <v>-3785.7530000000002</v>
      </c>
      <c r="BQ59" s="529">
        <v>-3969.6350000000002</v>
      </c>
      <c r="BR59" s="529">
        <v>-3960.7579999999998</v>
      </c>
      <c r="BS59" s="529"/>
      <c r="BT59" s="529"/>
      <c r="BW59" s="1118" t="s">
        <v>490</v>
      </c>
      <c r="BX59" s="1118"/>
      <c r="BY59" s="1118"/>
      <c r="BZ59" s="1118"/>
      <c r="CB59" s="9"/>
      <c r="CC59" s="9"/>
    </row>
    <row r="60" spans="2:84">
      <c r="D60" t="s">
        <v>284</v>
      </c>
      <c r="H60" s="135">
        <f t="shared" ref="H60:BL60" si="74">SUM(H58:H59)</f>
        <v>-31.518894000000046</v>
      </c>
      <c r="I60" s="135">
        <f t="shared" si="74"/>
        <v>55.703964300000052</v>
      </c>
      <c r="J60" s="135">
        <f t="shared" si="74"/>
        <v>22.971850099999983</v>
      </c>
      <c r="K60" s="135">
        <f t="shared" si="74"/>
        <v>-25.254762499999742</v>
      </c>
      <c r="L60" s="135">
        <f t="shared" si="74"/>
        <v>-17.391009599999961</v>
      </c>
      <c r="M60" s="135">
        <f t="shared" si="74"/>
        <v>-20.316669019189931</v>
      </c>
      <c r="N60" s="135">
        <f t="shared" si="74"/>
        <v>70.912487371659836</v>
      </c>
      <c r="O60" s="135">
        <f t="shared" si="74"/>
        <v>92.931528870179818</v>
      </c>
      <c r="P60" s="135">
        <f t="shared" si="74"/>
        <v>198.49746135705004</v>
      </c>
      <c r="Q60" s="135">
        <f t="shared" si="74"/>
        <v>82.332752480839872</v>
      </c>
      <c r="R60" s="135">
        <f t="shared" si="74"/>
        <v>153.01433810281992</v>
      </c>
      <c r="S60" s="135">
        <f t="shared" si="74"/>
        <v>109.18371522803</v>
      </c>
      <c r="T60" s="135">
        <f t="shared" si="74"/>
        <v>130.92975660545994</v>
      </c>
      <c r="U60" s="135">
        <f t="shared" si="74"/>
        <v>165.07600000000002</v>
      </c>
      <c r="V60" s="135">
        <f t="shared" si="74"/>
        <v>228.0329999999999</v>
      </c>
      <c r="W60" s="135">
        <f t="shared" si="74"/>
        <v>170.55500000000006</v>
      </c>
      <c r="X60" s="135">
        <f t="shared" si="74"/>
        <v>295.202</v>
      </c>
      <c r="Y60" s="135">
        <f t="shared" si="74"/>
        <v>269.17000000000007</v>
      </c>
      <c r="Z60" s="135">
        <f t="shared" si="74"/>
        <v>300.18999999999983</v>
      </c>
      <c r="AA60" s="135">
        <f t="shared" si="74"/>
        <v>198.9281522542833</v>
      </c>
      <c r="AB60" s="135">
        <f t="shared" si="74"/>
        <v>245.07067861651012</v>
      </c>
      <c r="AC60" s="135">
        <f>SUM(AC58:AC59)</f>
        <v>222.8609376164668</v>
      </c>
      <c r="AD60" s="135">
        <f>SUM(AD58:AD59)</f>
        <v>247.13799999999992</v>
      </c>
      <c r="AE60" s="135">
        <f t="shared" si="74"/>
        <v>200.59300000000007</v>
      </c>
      <c r="AF60" s="135">
        <f t="shared" si="74"/>
        <v>303.98099999999999</v>
      </c>
      <c r="AG60" s="135">
        <f t="shared" si="74"/>
        <v>319.76462509854809</v>
      </c>
      <c r="AH60" s="135">
        <f t="shared" si="74"/>
        <v>255.00099999999998</v>
      </c>
      <c r="AI60" s="135">
        <f t="shared" si="74"/>
        <v>173.52400000000011</v>
      </c>
      <c r="AJ60" s="135">
        <f t="shared" si="74"/>
        <v>297.33899999999994</v>
      </c>
      <c r="AK60" s="135">
        <f t="shared" si="74"/>
        <v>211.89800000000014</v>
      </c>
      <c r="AL60" s="135">
        <f t="shared" si="74"/>
        <v>260.61899999999991</v>
      </c>
      <c r="AM60" s="135">
        <f t="shared" si="74"/>
        <v>263.62899999999991</v>
      </c>
      <c r="AN60" s="135">
        <f t="shared" si="74"/>
        <v>359.62200000000007</v>
      </c>
      <c r="AO60" s="135">
        <f t="shared" si="74"/>
        <v>226.91100000000006</v>
      </c>
      <c r="AP60" s="135">
        <f t="shared" si="74"/>
        <v>304.5659999999998</v>
      </c>
      <c r="AQ60" s="135">
        <f t="shared" si="74"/>
        <v>186.35799999999995</v>
      </c>
      <c r="AR60" s="135">
        <f t="shared" si="74"/>
        <v>387.45700000000011</v>
      </c>
      <c r="AS60" s="135">
        <f t="shared" si="74"/>
        <v>542.54799999999977</v>
      </c>
      <c r="AT60" s="135">
        <f t="shared" si="74"/>
        <v>612.61699999999996</v>
      </c>
      <c r="AU60" s="135">
        <f t="shared" si="74"/>
        <v>507.52700000000004</v>
      </c>
      <c r="AV60" s="135">
        <f t="shared" si="74"/>
        <v>642.21499999999992</v>
      </c>
      <c r="AW60" s="135">
        <f t="shared" si="74"/>
        <v>1094.6360000000002</v>
      </c>
      <c r="AX60" s="135">
        <f t="shared" si="74"/>
        <v>1213.769</v>
      </c>
      <c r="AY60" s="135">
        <f t="shared" si="74"/>
        <v>1034.473</v>
      </c>
      <c r="AZ60" s="135">
        <f t="shared" si="74"/>
        <v>1199.6289999999999</v>
      </c>
      <c r="BA60" s="135">
        <f t="shared" si="74"/>
        <v>1165.8119999999999</v>
      </c>
      <c r="BB60" s="135">
        <f t="shared" si="74"/>
        <v>892.59400000000005</v>
      </c>
      <c r="BC60" s="135">
        <f t="shared" si="74"/>
        <v>714.32400000000007</v>
      </c>
      <c r="BD60" s="135">
        <f t="shared" si="74"/>
        <v>648.87900000000013</v>
      </c>
      <c r="BE60" s="545">
        <f t="shared" si="74"/>
        <v>458.72100000000023</v>
      </c>
      <c r="BF60" s="545">
        <f t="shared" si="74"/>
        <v>348.69999999999982</v>
      </c>
      <c r="BG60" s="545">
        <f t="shared" si="74"/>
        <v>39.967000000000098</v>
      </c>
      <c r="BH60" s="545">
        <f t="shared" si="74"/>
        <v>10.447000000000116</v>
      </c>
      <c r="BI60" s="545">
        <f t="shared" si="74"/>
        <v>75.952999999999975</v>
      </c>
      <c r="BJ60" s="545">
        <f t="shared" si="74"/>
        <v>226.53499999999985</v>
      </c>
      <c r="BK60" s="545">
        <f t="shared" si="74"/>
        <v>254.86400000000003</v>
      </c>
      <c r="BL60" s="545">
        <f t="shared" si="74"/>
        <v>516.83599999999979</v>
      </c>
      <c r="BM60" s="545">
        <f t="shared" ref="BM60:BP60" si="75">SUM(BM58:BM59)</f>
        <v>542.41499999999996</v>
      </c>
      <c r="BN60" s="545">
        <f t="shared" si="75"/>
        <v>486.51399999999967</v>
      </c>
      <c r="BO60" s="545">
        <f t="shared" si="75"/>
        <v>363.01399999999967</v>
      </c>
      <c r="BP60" s="545">
        <f t="shared" si="75"/>
        <v>324.79899999999952</v>
      </c>
      <c r="BQ60" s="545">
        <f t="shared" ref="BQ60:BR60" si="76">SUM(BQ58:BQ59)</f>
        <v>362.12899999999991</v>
      </c>
      <c r="BR60" s="545">
        <f t="shared" si="76"/>
        <v>396.56400000000031</v>
      </c>
      <c r="BS60" s="545">
        <f t="shared" ref="BS60:BT60" si="77">SUM(BS58:BS59)</f>
        <v>0</v>
      </c>
      <c r="BT60" s="545">
        <f t="shared" si="77"/>
        <v>0</v>
      </c>
      <c r="BW60" s="1118"/>
      <c r="BX60" s="1118"/>
      <c r="BY60" s="1118"/>
      <c r="BZ60" s="1118"/>
      <c r="CB60" s="9"/>
      <c r="CC60" s="9"/>
    </row>
    <row r="61" spans="2:84">
      <c r="C61" s="91" t="s">
        <v>239</v>
      </c>
      <c r="H61" s="118"/>
      <c r="I61" s="118"/>
      <c r="J61" s="118"/>
      <c r="K61" s="118"/>
      <c r="L61" s="118">
        <v>178.137</v>
      </c>
      <c r="M61" s="118">
        <v>145.80699999999999</v>
      </c>
      <c r="N61" s="118">
        <v>-157.93</v>
      </c>
      <c r="O61" s="118">
        <v>281.18599999999998</v>
      </c>
      <c r="P61" s="118">
        <v>-94.667000000000002</v>
      </c>
      <c r="Q61" s="118">
        <v>-162.16900000000001</v>
      </c>
      <c r="R61" s="118">
        <v>-309.79700000000003</v>
      </c>
      <c r="S61" s="118">
        <v>215.01400000000001</v>
      </c>
      <c r="T61" s="118">
        <v>-271.839</v>
      </c>
      <c r="U61" s="118">
        <v>-321.14299999999997</v>
      </c>
      <c r="V61" s="118">
        <v>313.24900000000002</v>
      </c>
      <c r="W61" s="118">
        <v>-431.61</v>
      </c>
      <c r="X61" s="118">
        <v>-308.69900000000001</v>
      </c>
      <c r="Y61" s="118">
        <v>-734.41499999999996</v>
      </c>
      <c r="Z61" s="118">
        <v>121.565</v>
      </c>
      <c r="AA61" s="118">
        <v>-581.17829282527305</v>
      </c>
      <c r="AB61" s="118">
        <v>-263.11673872744501</v>
      </c>
      <c r="AC61" s="118">
        <v>555.37935342432866</v>
      </c>
      <c r="AD61" s="118">
        <v>-32.462000000000003</v>
      </c>
      <c r="AE61" s="118">
        <v>-98.616</v>
      </c>
      <c r="AF61" s="118">
        <v>-170.774</v>
      </c>
      <c r="AG61" s="118">
        <v>47.269218049357512</v>
      </c>
      <c r="AH61" s="118">
        <v>240.93</v>
      </c>
      <c r="AI61" s="118">
        <v>353.904</v>
      </c>
      <c r="AJ61" s="118">
        <v>-17.617999999999999</v>
      </c>
      <c r="AK61" s="118">
        <v>-282.62599999999998</v>
      </c>
      <c r="AL61" s="118">
        <v>-195.33799999999999</v>
      </c>
      <c r="AM61" s="118">
        <v>174.065</v>
      </c>
      <c r="AN61" s="118">
        <v>-543.23199999999997</v>
      </c>
      <c r="AO61" s="118">
        <v>200.983</v>
      </c>
      <c r="AP61" s="118">
        <v>225.12299999999999</v>
      </c>
      <c r="AQ61" s="118">
        <v>-136.13</v>
      </c>
      <c r="AR61" s="118">
        <v>217.19200000000001</v>
      </c>
      <c r="AS61" s="118">
        <v>-978.34500000000003</v>
      </c>
      <c r="AT61" s="118">
        <v>403.82900000000001</v>
      </c>
      <c r="AU61" s="118">
        <v>205.18899999999999</v>
      </c>
      <c r="AV61" s="118">
        <v>539.447</v>
      </c>
      <c r="AW61" s="118">
        <v>172.37</v>
      </c>
      <c r="AX61" s="118">
        <v>200.09899999999999</v>
      </c>
      <c r="AY61" s="118">
        <v>-323.21800000000002</v>
      </c>
      <c r="AZ61" s="118">
        <v>41.715000000000003</v>
      </c>
      <c r="BA61" s="118">
        <v>171.06299999999999</v>
      </c>
      <c r="BB61" s="118">
        <v>-474.137</v>
      </c>
      <c r="BC61" s="118">
        <v>-801.56899999999996</v>
      </c>
      <c r="BD61" s="118">
        <v>174.386</v>
      </c>
      <c r="BE61" s="529">
        <v>15.638999999999999</v>
      </c>
      <c r="BF61" s="529">
        <v>314.72699999999998</v>
      </c>
      <c r="BG61" s="529">
        <v>-303.16000000000003</v>
      </c>
      <c r="BH61" s="529">
        <v>344.34899999999999</v>
      </c>
      <c r="BI61" s="529">
        <v>-391.72199999999998</v>
      </c>
      <c r="BJ61" s="529">
        <v>-163.047</v>
      </c>
      <c r="BK61" s="529">
        <f>202.865+0.159438152128132</f>
        <v>203.02443815212814</v>
      </c>
      <c r="BL61" s="529">
        <v>-1022.376</v>
      </c>
      <c r="BM61" s="529">
        <v>-12.02</v>
      </c>
      <c r="BN61" s="529">
        <v>899.553</v>
      </c>
      <c r="BO61" s="529">
        <v>-356.68799999999999</v>
      </c>
      <c r="BP61" s="529">
        <v>290.10000000000002</v>
      </c>
      <c r="BQ61" s="529">
        <v>-351.42700000000002</v>
      </c>
      <c r="BR61" s="529">
        <v>-318.00599999999997</v>
      </c>
      <c r="BS61" s="529"/>
      <c r="BT61" s="529"/>
      <c r="BW61" s="1118" t="s">
        <v>490</v>
      </c>
      <c r="BX61" s="1118"/>
      <c r="BY61" s="1118"/>
      <c r="BZ61" s="1118" t="s">
        <v>873</v>
      </c>
      <c r="CB61" s="9"/>
      <c r="CC61" s="9"/>
    </row>
    <row r="62" spans="2:84">
      <c r="C62" s="114" t="s">
        <v>492</v>
      </c>
      <c r="H62" s="118">
        <v>2300.437894000002</v>
      </c>
      <c r="I62" s="118">
        <v>1262.4380356999991</v>
      </c>
      <c r="J62" s="118">
        <v>-190.85685010000066</v>
      </c>
      <c r="K62" s="118">
        <v>-4371.1912375000038</v>
      </c>
      <c r="L62" s="118">
        <v>1880.0129999999999</v>
      </c>
      <c r="M62" s="118">
        <v>2489.2269999999999</v>
      </c>
      <c r="N62" s="118">
        <v>-905.89200000000005</v>
      </c>
      <c r="O62" s="118">
        <v>1243.5609999999999</v>
      </c>
      <c r="P62" s="118">
        <v>379.28899999999999</v>
      </c>
      <c r="Q62" s="118">
        <v>2546.1849999999999</v>
      </c>
      <c r="R62" s="118">
        <v>470.39100000000002</v>
      </c>
      <c r="S62" s="118">
        <v>1686.203</v>
      </c>
      <c r="T62" s="118">
        <v>2954.2860000000001</v>
      </c>
      <c r="U62" s="118">
        <v>1004.603</v>
      </c>
      <c r="V62" s="118">
        <v>1628.2249999999999</v>
      </c>
      <c r="W62" s="118">
        <v>-348.03100000000001</v>
      </c>
      <c r="X62" s="118">
        <v>1270.1990000000001</v>
      </c>
      <c r="Y62" s="118">
        <v>1004.067</v>
      </c>
      <c r="Z62" s="118">
        <v>-244.72399999999999</v>
      </c>
      <c r="AA62" s="118">
        <v>-3141.53034358372</v>
      </c>
      <c r="AB62" s="118">
        <v>1522.8579335514801</v>
      </c>
      <c r="AC62" s="118">
        <v>43.036441342715499</v>
      </c>
      <c r="AD62" s="118">
        <v>983.30899999999997</v>
      </c>
      <c r="AE62" s="118">
        <v>1860.377</v>
      </c>
      <c r="AF62" s="118">
        <v>871.28206930372903</v>
      </c>
      <c r="AG62" s="118">
        <v>2218.8028196749524</v>
      </c>
      <c r="AH62" s="118">
        <v>1170.2539999999999</v>
      </c>
      <c r="AI62" s="118">
        <v>1552.3920000000001</v>
      </c>
      <c r="AJ62" s="118">
        <v>2216.8359999999998</v>
      </c>
      <c r="AK62" s="118">
        <v>-275.57799999999997</v>
      </c>
      <c r="AL62" s="118">
        <v>890.74400000000003</v>
      </c>
      <c r="AM62" s="118">
        <v>2019.2819999999999</v>
      </c>
      <c r="AN62" s="118">
        <v>-6346.3710000000001</v>
      </c>
      <c r="AO62" s="118">
        <v>5470.4009999999998</v>
      </c>
      <c r="AP62" s="118">
        <v>1745.672</v>
      </c>
      <c r="AQ62" s="118">
        <v>294.24299999999999</v>
      </c>
      <c r="AR62" s="118">
        <v>3710.241</v>
      </c>
      <c r="AS62" s="118">
        <v>-11065.236999999999</v>
      </c>
      <c r="AT62" s="118">
        <v>8171.4470000000001</v>
      </c>
      <c r="AU62" s="118">
        <v>3669.3040000000001</v>
      </c>
      <c r="AV62" s="118">
        <v>7745.1949999999997</v>
      </c>
      <c r="AW62" s="118">
        <v>3088.31</v>
      </c>
      <c r="AX62" s="118">
        <v>4433.058</v>
      </c>
      <c r="AY62" s="118">
        <v>-681.10299999999995</v>
      </c>
      <c r="AZ62" s="118">
        <v>4305.7179999999998</v>
      </c>
      <c r="BA62" s="118">
        <v>-4940.9359999999997</v>
      </c>
      <c r="BB62" s="118">
        <v>-11835.569</v>
      </c>
      <c r="BC62" s="118">
        <v>-3466.3249999999998</v>
      </c>
      <c r="BD62" s="118">
        <v>4388.1049999999996</v>
      </c>
      <c r="BE62" s="529">
        <v>3197.7170000000001</v>
      </c>
      <c r="BF62" s="529">
        <f>3361.219-0.001</f>
        <v>3361.2179999999998</v>
      </c>
      <c r="BG62" s="529">
        <f>-2941.69-0.001</f>
        <v>-2941.6910000000003</v>
      </c>
      <c r="BH62" s="529">
        <v>7939.1980000000003</v>
      </c>
      <c r="BI62" s="529">
        <f>6921.515-0.158</f>
        <v>6921.357</v>
      </c>
      <c r="BJ62" s="529">
        <f>1708.418-0.001</f>
        <v>1708.4169999999999</v>
      </c>
      <c r="BK62" s="529">
        <v>5676.48</v>
      </c>
      <c r="BL62" s="529">
        <f>1339.705+0.001</f>
        <v>1339.7059999999999</v>
      </c>
      <c r="BM62" s="529">
        <v>-2703.4630000000002</v>
      </c>
      <c r="BN62" s="529">
        <v>8930.81</v>
      </c>
      <c r="BO62" s="529">
        <v>6562.4889999999996</v>
      </c>
      <c r="BP62" s="529">
        <v>1482.6590000000001</v>
      </c>
      <c r="BQ62" s="529">
        <v>-2139.5970000000002</v>
      </c>
      <c r="BR62" s="529">
        <v>13201.081</v>
      </c>
      <c r="BS62" s="529"/>
      <c r="BT62" s="529"/>
      <c r="BW62" s="1118" t="s">
        <v>490</v>
      </c>
      <c r="BX62" s="1118"/>
      <c r="BY62" s="1118" t="s">
        <v>456</v>
      </c>
      <c r="BZ62" s="1118"/>
      <c r="CB62" s="9"/>
      <c r="CC62" s="9"/>
      <c r="CD62" s="91"/>
      <c r="CE62" s="91"/>
      <c r="CF62" s="91"/>
    </row>
    <row r="63" spans="2:84" ht="15" thickBot="1">
      <c r="B63" t="s">
        <v>493</v>
      </c>
      <c r="H63" s="129">
        <v>34869.313346655159</v>
      </c>
      <c r="I63" s="136">
        <f>+I57+I60+I62+I61</f>
        <v>36187.455346655159</v>
      </c>
      <c r="J63" s="136">
        <f t="shared" ref="J63:AN63" si="78">+J57+J60+J62+J61</f>
        <v>36019.570346655164</v>
      </c>
      <c r="K63" s="136">
        <f t="shared" si="78"/>
        <v>31623.12434665516</v>
      </c>
      <c r="L63" s="136">
        <f t="shared" si="78"/>
        <v>33663.883337055166</v>
      </c>
      <c r="M63" s="136">
        <f t="shared" si="78"/>
        <v>36278.600668035979</v>
      </c>
      <c r="N63" s="136">
        <f t="shared" si="78"/>
        <v>35285.691155407636</v>
      </c>
      <c r="O63" s="136">
        <f t="shared" si="78"/>
        <v>36903.369684277815</v>
      </c>
      <c r="P63" s="136">
        <f t="shared" si="78"/>
        <v>37386.489145634863</v>
      </c>
      <c r="Q63" s="136">
        <f t="shared" si="78"/>
        <v>39852.8378981157</v>
      </c>
      <c r="R63" s="136">
        <f t="shared" si="78"/>
        <v>40166.446236218522</v>
      </c>
      <c r="S63" s="136">
        <f t="shared" si="78"/>
        <v>42176.846951446554</v>
      </c>
      <c r="T63" s="136">
        <f t="shared" si="78"/>
        <v>44990.223708052014</v>
      </c>
      <c r="U63" s="136">
        <f t="shared" si="78"/>
        <v>45838.759708052021</v>
      </c>
      <c r="V63" s="136">
        <f t="shared" si="78"/>
        <v>48008.266708052026</v>
      </c>
      <c r="W63" s="136">
        <f t="shared" si="78"/>
        <v>47399.180708052023</v>
      </c>
      <c r="X63" s="136">
        <f t="shared" si="78"/>
        <v>48655.88270805202</v>
      </c>
      <c r="Y63" s="136">
        <f t="shared" si="78"/>
        <v>49194.704708052021</v>
      </c>
      <c r="Z63" s="136">
        <f t="shared" si="78"/>
        <v>49371.735708052023</v>
      </c>
      <c r="AA63" s="136">
        <f t="shared" si="78"/>
        <v>45847.955223897312</v>
      </c>
      <c r="AB63" s="136">
        <f t="shared" si="78"/>
        <v>47352.767097337855</v>
      </c>
      <c r="AC63" s="136">
        <f t="shared" si="78"/>
        <v>48174.04382972137</v>
      </c>
      <c r="AD63" s="136">
        <f t="shared" si="78"/>
        <v>49372.02882972137</v>
      </c>
      <c r="AE63" s="136">
        <f t="shared" si="78"/>
        <v>51334.382829721369</v>
      </c>
      <c r="AF63" s="136">
        <f t="shared" si="78"/>
        <v>52338.8718990251</v>
      </c>
      <c r="AG63" s="136">
        <f t="shared" si="78"/>
        <v>54924.708561847954</v>
      </c>
      <c r="AH63" s="136">
        <f t="shared" si="78"/>
        <v>56590.893561847952</v>
      </c>
      <c r="AI63" s="136">
        <f t="shared" si="78"/>
        <v>58670.713561847951</v>
      </c>
      <c r="AJ63" s="136">
        <f t="shared" si="78"/>
        <v>61167.270561847952</v>
      </c>
      <c r="AK63" s="136">
        <f t="shared" si="78"/>
        <v>60820.964561847955</v>
      </c>
      <c r="AL63" s="136">
        <f t="shared" si="78"/>
        <v>61776.98956184795</v>
      </c>
      <c r="AM63" s="136">
        <f t="shared" si="78"/>
        <v>64233.965561847952</v>
      </c>
      <c r="AN63" s="136">
        <f t="shared" si="78"/>
        <v>57703.984561847959</v>
      </c>
      <c r="AO63" s="136">
        <f>+AO57+AO60+AO62+AO61</f>
        <v>63602.279561847958</v>
      </c>
      <c r="AP63" s="136">
        <f t="shared" ref="AP63:BC63" si="79">+AP57+AP60+AP62+AP61</f>
        <v>65877.640561847962</v>
      </c>
      <c r="AQ63" s="136">
        <f t="shared" si="79"/>
        <v>66222.111561847953</v>
      </c>
      <c r="AR63" s="136">
        <f t="shared" si="79"/>
        <v>70537.001561847937</v>
      </c>
      <c r="AS63" s="136">
        <f t="shared" si="79"/>
        <v>59035.96756184793</v>
      </c>
      <c r="AT63" s="136">
        <f>+AT57+AT60+AT62+AT61</f>
        <v>68223.86056184792</v>
      </c>
      <c r="AU63" s="136">
        <f>+AU57+AU60+AU62+AU61</f>
        <v>72605.880561847924</v>
      </c>
      <c r="AV63" s="136">
        <f t="shared" si="79"/>
        <v>81532.737561847913</v>
      </c>
      <c r="AW63" s="136">
        <f t="shared" si="79"/>
        <v>85888.053561847904</v>
      </c>
      <c r="AX63" s="136">
        <f t="shared" si="79"/>
        <v>91734.979561847911</v>
      </c>
      <c r="AY63" s="136">
        <f>+AY57+AY60+AY62+AY61</f>
        <v>91765.131561847913</v>
      </c>
      <c r="AZ63" s="136">
        <f t="shared" si="79"/>
        <v>97312.193561847904</v>
      </c>
      <c r="BA63" s="136">
        <f t="shared" si="79"/>
        <v>93708.132561847902</v>
      </c>
      <c r="BB63" s="136">
        <f t="shared" si="79"/>
        <v>82291.020561847894</v>
      </c>
      <c r="BC63" s="136">
        <f t="shared" si="79"/>
        <v>78737.450561847887</v>
      </c>
      <c r="BD63" s="136">
        <f>+BD57+BD60+BD62+BD61</f>
        <v>83948.820561847882</v>
      </c>
      <c r="BE63" s="546">
        <f t="shared" ref="BE63:BG63" si="80">+BE57+BE60+BE62+BE61</f>
        <v>87620.897561847887</v>
      </c>
      <c r="BF63" s="546">
        <f t="shared" si="80"/>
        <v>91645.542561847877</v>
      </c>
      <c r="BG63" s="546">
        <f t="shared" si="80"/>
        <v>88440.658561847871</v>
      </c>
      <c r="BH63" s="546">
        <f>+BH57+BH60+BH62+BH61</f>
        <v>96734.652561847877</v>
      </c>
      <c r="BI63" s="546">
        <f t="shared" ref="BI63:BL63" si="81">+BI57+BI60+BI62+BI61</f>
        <v>103340.24056184788</v>
      </c>
      <c r="BJ63" s="546">
        <f t="shared" si="81"/>
        <v>105112.14556184788</v>
      </c>
      <c r="BK63" s="546">
        <f t="shared" si="81"/>
        <v>111246.51400000001</v>
      </c>
      <c r="BL63" s="546">
        <f t="shared" si="81"/>
        <v>112080.68000000001</v>
      </c>
      <c r="BM63" s="546">
        <f t="shared" ref="BM63:BP63" si="82">+BM57+BM60+BM62+BM61</f>
        <v>109907.61199999999</v>
      </c>
      <c r="BN63" s="546">
        <f t="shared" si="82"/>
        <v>120224.48899999999</v>
      </c>
      <c r="BO63" s="546">
        <f t="shared" si="82"/>
        <v>126793.30399999999</v>
      </c>
      <c r="BP63" s="546">
        <f t="shared" si="82"/>
        <v>128890.86199999999</v>
      </c>
      <c r="BQ63" s="546">
        <f t="shared" ref="BQ63:BR63" si="83">+BQ57+BQ60+BQ62+BQ61</f>
        <v>126761.967</v>
      </c>
      <c r="BR63" s="546">
        <f t="shared" si="83"/>
        <v>140041.606</v>
      </c>
      <c r="BS63" s="546">
        <f t="shared" ref="BS63:BT63" si="84">+BS57+BS60+BS62+BS61</f>
        <v>140041.606</v>
      </c>
      <c r="BT63" s="546">
        <f t="shared" si="84"/>
        <v>140041.606</v>
      </c>
      <c r="BU63" s="547"/>
      <c r="BV63" s="548"/>
      <c r="BW63" s="1118" t="s">
        <v>494</v>
      </c>
      <c r="BX63" s="1118"/>
      <c r="BY63" s="1118" t="s">
        <v>495</v>
      </c>
      <c r="BZ63" s="1118" t="s">
        <v>706</v>
      </c>
      <c r="CB63" s="9"/>
      <c r="CC63" s="9"/>
    </row>
    <row r="64" spans="2:84" ht="15" thickTop="1">
      <c r="H64" s="16">
        <f t="shared" ref="H64:AH64" si="85">+H59/AVERAGE(H63,H57)</f>
        <v>-2.6799090785354931E-2</v>
      </c>
      <c r="I64" s="16">
        <f t="shared" si="85"/>
        <v>-2.9777966410667992E-2</v>
      </c>
      <c r="J64" s="16">
        <f t="shared" si="85"/>
        <v>-3.0814955725369839E-2</v>
      </c>
      <c r="K64" s="16">
        <f t="shared" si="85"/>
        <v>-3.2089164023423593E-2</v>
      </c>
      <c r="L64" s="16">
        <f t="shared" si="85"/>
        <v>-2.9813987319343174E-2</v>
      </c>
      <c r="M64" s="16">
        <f t="shared" si="85"/>
        <v>-3.4542629882326148E-2</v>
      </c>
      <c r="N64" s="16">
        <f t="shared" si="85"/>
        <v>-3.1383654725427382E-2</v>
      </c>
      <c r="O64" s="16">
        <f t="shared" si="85"/>
        <v>-2.7670216498529861E-2</v>
      </c>
      <c r="P64" s="16">
        <f t="shared" si="85"/>
        <v>-2.8012074730824281E-2</v>
      </c>
      <c r="Q64" s="16">
        <f t="shared" si="85"/>
        <v>-3.3220130123413953E-2</v>
      </c>
      <c r="R64" s="16">
        <f t="shared" si="85"/>
        <v>-2.9110149497012135E-2</v>
      </c>
      <c r="S64" s="16">
        <f t="shared" si="85"/>
        <v>-2.7678205246779566E-2</v>
      </c>
      <c r="T64" s="16">
        <f t="shared" si="85"/>
        <v>-2.6297252729110657E-2</v>
      </c>
      <c r="U64" s="16">
        <f t="shared" si="85"/>
        <v>-2.7431067774763285E-2</v>
      </c>
      <c r="V64" s="16">
        <f t="shared" si="85"/>
        <v>-2.5811174764982597E-2</v>
      </c>
      <c r="W64" s="16">
        <f t="shared" si="85"/>
        <v>-2.5280332566500294E-2</v>
      </c>
      <c r="X64" s="16">
        <f t="shared" si="85"/>
        <v>-2.4164827104896262E-2</v>
      </c>
      <c r="Y64" s="16">
        <f t="shared" si="85"/>
        <v>-2.5458814972734747E-2</v>
      </c>
      <c r="Z64" s="16">
        <f t="shared" si="85"/>
        <v>-2.569970051983465E-2</v>
      </c>
      <c r="AA64" s="16">
        <f t="shared" si="85"/>
        <v>-2.4529629003345137E-2</v>
      </c>
      <c r="AB64" s="16">
        <f t="shared" si="85"/>
        <v>-2.4967420364479864E-2</v>
      </c>
      <c r="AC64" s="16">
        <f t="shared" si="85"/>
        <v>-2.4140286724474654E-2</v>
      </c>
      <c r="AD64" s="16">
        <f t="shared" si="85"/>
        <v>-2.5064894293961294E-2</v>
      </c>
      <c r="AE64" s="16">
        <f t="shared" si="85"/>
        <v>-2.2652480238442681E-2</v>
      </c>
      <c r="AF64" s="16">
        <f t="shared" si="85"/>
        <v>-2.1290158255135621E-2</v>
      </c>
      <c r="AG64" s="16">
        <f t="shared" si="85"/>
        <v>-2.3596441870157695E-2</v>
      </c>
      <c r="AH64" s="16">
        <f t="shared" si="85"/>
        <v>-2.3635186017077901E-2</v>
      </c>
      <c r="AI64" s="16">
        <f>+AI59/AVERAGE(AI63,AI57)</f>
        <v>-2.1823173064909315E-2</v>
      </c>
      <c r="AJ64" s="16">
        <f>+AJ59/AVERAGE(AJ63,AJ57)</f>
        <v>-2.1788383867546255E-2</v>
      </c>
      <c r="AK64" s="16">
        <f>+AK59/AVERAGE(AK63,AK57)</f>
        <v>-2.5758975829215991E-2</v>
      </c>
      <c r="AL64" s="16">
        <f t="shared" ref="AL64:AM64" si="86">+AL59/AVERAGE(AL63,AL57)</f>
        <v>-2.4442300211442253E-2</v>
      </c>
      <c r="AM64" s="16">
        <f t="shared" si="86"/>
        <v>-2.3788677715024367E-2</v>
      </c>
      <c r="AN64" s="16">
        <f>+AN59/AVERAGE(AN63,AN57)</f>
        <v>-2.256983980137605E-2</v>
      </c>
      <c r="AO64" s="16">
        <f>+AO59/AVERAGE(AO63,AO57)</f>
        <v>-2.5227650213343004E-2</v>
      </c>
      <c r="AP64" s="16">
        <f t="shared" ref="AP64:BC64" si="87">+AP59/AVERAGE(AP63,AP57)</f>
        <v>-2.5221841323968701E-2</v>
      </c>
      <c r="AQ64" s="16">
        <f t="shared" si="87"/>
        <v>-2.527388542617191E-2</v>
      </c>
      <c r="AR64" s="16">
        <f t="shared" si="87"/>
        <v>-2.3333450525624189E-2</v>
      </c>
      <c r="AS64" s="16">
        <f t="shared" si="87"/>
        <v>-2.6288075537948614E-2</v>
      </c>
      <c r="AT64" s="16">
        <f t="shared" si="87"/>
        <v>-1.687651187075662E-2</v>
      </c>
      <c r="AU64" s="16">
        <f t="shared" si="87"/>
        <v>-1.8937349303635574E-2</v>
      </c>
      <c r="AV64" s="16">
        <f t="shared" si="87"/>
        <v>-1.8518019914447386E-2</v>
      </c>
      <c r="AW64" s="16">
        <f t="shared" si="87"/>
        <v>-2.1010795471639195E-2</v>
      </c>
      <c r="AX64" s="16">
        <f t="shared" si="87"/>
        <v>-2.0565564813073121E-2</v>
      </c>
      <c r="AY64" s="16">
        <f t="shared" si="87"/>
        <v>-1.9138124650140913E-2</v>
      </c>
      <c r="AZ64" s="16">
        <f t="shared" si="87"/>
        <v>-1.9245195041866864E-2</v>
      </c>
      <c r="BA64" s="16">
        <f t="shared" si="87"/>
        <v>-1.9888804909378274E-2</v>
      </c>
      <c r="BB64" s="16">
        <f t="shared" si="87"/>
        <v>-2.0420280076427964E-2</v>
      </c>
      <c r="BC64" s="16">
        <f t="shared" si="87"/>
        <v>-1.7973666270337581E-2</v>
      </c>
      <c r="BD64" s="16">
        <f>+BD59/AVERAGE(BD63,BD57)</f>
        <v>-1.7747852846197856E-2</v>
      </c>
      <c r="BE64" s="549">
        <f t="shared" ref="BE64:BH64" si="88">+BE59/AVERAGE(BE63,BE57)</f>
        <v>-2.1463717725205035E-2</v>
      </c>
      <c r="BF64" s="549">
        <f t="shared" si="88"/>
        <v>-2.2680352201976769E-2</v>
      </c>
      <c r="BG64" s="549">
        <f t="shared" si="88"/>
        <v>-2.3702160261952238E-2</v>
      </c>
      <c r="BH64" s="549">
        <f t="shared" si="88"/>
        <v>-2.5332631934213201E-2</v>
      </c>
      <c r="BI64" s="549">
        <f t="shared" ref="BI64:BL64" si="89">+BI59/AVERAGE(BI63,BI57)</f>
        <v>-2.6933884186400105E-2</v>
      </c>
      <c r="BJ64" s="549">
        <f t="shared" si="89"/>
        <v>-2.7405865225308627E-2</v>
      </c>
      <c r="BK64" s="549">
        <f t="shared" si="89"/>
        <v>-2.4498728226243265E-2</v>
      </c>
      <c r="BL64" s="549">
        <f t="shared" si="89"/>
        <v>-2.5108379770356133E-2</v>
      </c>
      <c r="BM64" s="549">
        <f t="shared" ref="BM64:BP64" si="90">+BM59/AVERAGE(BM63,BM57)</f>
        <v>-2.7181010068765245E-2</v>
      </c>
      <c r="BN64" s="549">
        <f t="shared" si="90"/>
        <v>-2.6609551528841261E-2</v>
      </c>
      <c r="BO64" s="549">
        <f t="shared" si="90"/>
        <v>-2.7114613561461141E-2</v>
      </c>
      <c r="BP64" s="549">
        <f t="shared" si="90"/>
        <v>-2.9612729323254226E-2</v>
      </c>
      <c r="BQ64" s="549">
        <f t="shared" ref="BQ64:BR64" si="91">+BQ59/AVERAGE(BQ63,BQ57)</f>
        <v>-3.1054888111564767E-2</v>
      </c>
      <c r="BR64" s="549">
        <f t="shared" si="91"/>
        <v>-2.9690441964208628E-2</v>
      </c>
      <c r="BS64" s="549">
        <f t="shared" ref="BS64:BT64" si="92">+BS59/AVERAGE(BS63,BS57)</f>
        <v>0</v>
      </c>
      <c r="BT64" s="549">
        <f t="shared" si="92"/>
        <v>0</v>
      </c>
      <c r="BW64" s="1118"/>
      <c r="BX64" s="1118"/>
      <c r="BY64" s="1118"/>
      <c r="BZ64" s="1118"/>
      <c r="CB64" s="9"/>
      <c r="CC64" s="9"/>
    </row>
    <row r="65" spans="1:81">
      <c r="B65" t="s">
        <v>496</v>
      </c>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544"/>
      <c r="BF65" s="544"/>
      <c r="BG65" s="544"/>
      <c r="BH65" s="544"/>
      <c r="BI65" s="544"/>
      <c r="BJ65" s="544"/>
      <c r="BK65" s="544"/>
      <c r="BL65" s="544"/>
      <c r="BM65" s="544"/>
      <c r="BN65" s="544"/>
      <c r="BO65" s="544"/>
      <c r="BP65" s="544"/>
      <c r="BQ65" s="544"/>
      <c r="BR65" s="544"/>
      <c r="BS65" s="544"/>
      <c r="BT65" s="544"/>
      <c r="BW65" s="1118"/>
      <c r="BX65" s="1118"/>
      <c r="BY65" s="1118" t="s">
        <v>456</v>
      </c>
      <c r="CB65" s="9"/>
      <c r="CC65" s="9"/>
    </row>
    <row r="66" spans="1:81">
      <c r="C66" s="114" t="s">
        <v>482</v>
      </c>
      <c r="H66" s="118">
        <v>23660.565999999999</v>
      </c>
      <c r="I66" s="118">
        <v>24882.3</v>
      </c>
      <c r="J66" s="118">
        <f>19376.509+5953.296</f>
        <v>25329.805</v>
      </c>
      <c r="K66" s="118">
        <f>17933.167+5566.705</f>
        <v>23499.872000000003</v>
      </c>
      <c r="L66" s="118">
        <f>17278.757+5304.514</f>
        <v>22583.271000000001</v>
      </c>
      <c r="M66" s="118">
        <v>23693.963</v>
      </c>
      <c r="N66" s="118">
        <v>23724.294000000002</v>
      </c>
      <c r="O66" s="118">
        <v>23750.395</v>
      </c>
      <c r="P66" s="118">
        <v>24198.002</v>
      </c>
      <c r="Q66" s="118">
        <v>19491.608</v>
      </c>
      <c r="R66" s="118">
        <v>20315.125</v>
      </c>
      <c r="S66" s="118">
        <v>20717.224999999999</v>
      </c>
      <c r="T66" s="118">
        <v>22066.678</v>
      </c>
      <c r="U66" s="118">
        <v>22796.947</v>
      </c>
      <c r="V66" s="118">
        <v>23458.255000000001</v>
      </c>
      <c r="W66" s="118">
        <v>23944.572</v>
      </c>
      <c r="X66" s="118">
        <v>24362.645</v>
      </c>
      <c r="Y66" s="118">
        <v>24787.29</v>
      </c>
      <c r="Z66" s="118">
        <v>25098.830999999998</v>
      </c>
      <c r="AA66" s="118">
        <v>24207.91613003</v>
      </c>
      <c r="AB66" s="118">
        <v>24008.247969057498</v>
      </c>
      <c r="AC66" s="118">
        <v>23390.036123427501</v>
      </c>
      <c r="AD66" s="118">
        <v>24325.795999999998</v>
      </c>
      <c r="AE66" s="118">
        <v>25197.911</v>
      </c>
      <c r="AF66" s="118">
        <v>25616.963</v>
      </c>
      <c r="AG66" s="118">
        <v>26899.202072732001</v>
      </c>
      <c r="AH66" s="137">
        <v>27890.257000000001</v>
      </c>
      <c r="AI66" s="137">
        <v>28756.475999999999</v>
      </c>
      <c r="AJ66" s="118">
        <v>29825.876</v>
      </c>
      <c r="AK66" s="118">
        <v>30674.273000000001</v>
      </c>
      <c r="AL66" s="118">
        <v>30347.991999999998</v>
      </c>
      <c r="AM66" s="118">
        <v>31438.544000000002</v>
      </c>
      <c r="AN66" s="118">
        <v>30156.471000000001</v>
      </c>
      <c r="AO66" s="118">
        <v>30266.481</v>
      </c>
      <c r="AP66" s="118">
        <v>31743.917000000001</v>
      </c>
      <c r="AQ66" s="118">
        <v>32521.087</v>
      </c>
      <c r="AR66" s="118">
        <v>33658.004999999997</v>
      </c>
      <c r="AS66" s="118">
        <v>32692.503000000001</v>
      </c>
      <c r="AT66" s="118">
        <v>31586.498</v>
      </c>
      <c r="AU66" s="118">
        <v>35204.046000000002</v>
      </c>
      <c r="AV66" s="118">
        <v>37562.347999999998</v>
      </c>
      <c r="AW66" s="118">
        <v>41160.673999999999</v>
      </c>
      <c r="AX66" s="118">
        <v>44398.199000000001</v>
      </c>
      <c r="AY66" s="118">
        <v>46112.512000000002</v>
      </c>
      <c r="AZ66" s="118">
        <v>47139.131000000001</v>
      </c>
      <c r="BA66" s="118">
        <v>46429.453000000001</v>
      </c>
      <c r="BB66" s="118">
        <v>42869.601999999999</v>
      </c>
      <c r="BC66" s="118">
        <v>40330.582999999999</v>
      </c>
      <c r="BD66" s="118">
        <v>40401.648999999998</v>
      </c>
      <c r="BE66" s="529">
        <v>42096.413999999997</v>
      </c>
      <c r="BF66" s="529">
        <v>43225.313000000002</v>
      </c>
      <c r="BG66" s="529">
        <v>44748.207000000002</v>
      </c>
      <c r="BH66" s="529">
        <v>44622.205999999998</v>
      </c>
      <c r="BI66" s="529">
        <v>49013.241999999998</v>
      </c>
      <c r="BJ66" s="529">
        <v>50559.985000000001</v>
      </c>
      <c r="BK66" s="529">
        <v>52720.62</v>
      </c>
      <c r="BL66" s="529">
        <v>54630.445</v>
      </c>
      <c r="BM66" s="529">
        <v>54649.052000000003</v>
      </c>
      <c r="BN66" s="529">
        <v>54323.928</v>
      </c>
      <c r="BO66" s="529">
        <v>58409.534</v>
      </c>
      <c r="BP66" s="529">
        <v>60288.190999999999</v>
      </c>
      <c r="BQ66" s="529">
        <v>60243.108</v>
      </c>
      <c r="BR66" s="529">
        <v>62297.694000000003</v>
      </c>
      <c r="BS66" s="529"/>
      <c r="BT66" s="529"/>
      <c r="BW66" s="1118" t="s">
        <v>494</v>
      </c>
      <c r="BX66" s="1118"/>
      <c r="BY66" s="1118" t="s">
        <v>495</v>
      </c>
      <c r="CB66" s="9"/>
      <c r="CC66" s="9"/>
    </row>
    <row r="67" spans="1:81">
      <c r="C67" s="114" t="s">
        <v>288</v>
      </c>
      <c r="H67" s="118"/>
      <c r="I67" s="118"/>
      <c r="J67" s="118"/>
      <c r="K67" s="118"/>
      <c r="L67" s="118"/>
      <c r="M67" s="118"/>
      <c r="N67" s="118"/>
      <c r="O67" s="118"/>
      <c r="P67" s="118"/>
      <c r="Q67" s="118">
        <v>5678.3090000000002</v>
      </c>
      <c r="R67" s="118">
        <v>5725.9690000000001</v>
      </c>
      <c r="S67" s="118">
        <v>5761.2460000000001</v>
      </c>
      <c r="T67" s="118">
        <v>6054.9459999999999</v>
      </c>
      <c r="U67" s="118">
        <v>6044.5789999999997</v>
      </c>
      <c r="V67" s="118">
        <v>6371.1170000000002</v>
      </c>
      <c r="W67" s="118">
        <v>6512.7629999999999</v>
      </c>
      <c r="X67" s="118">
        <v>6265.491</v>
      </c>
      <c r="Y67" s="118">
        <v>6035.4989999999998</v>
      </c>
      <c r="Z67" s="118">
        <v>6176.7610000000004</v>
      </c>
      <c r="AA67" s="118">
        <v>5808.23237825665</v>
      </c>
      <c r="AB67" s="118">
        <v>5592.8633611011901</v>
      </c>
      <c r="AC67" s="118">
        <v>5477.8537445030697</v>
      </c>
      <c r="AD67" s="118">
        <v>5963.0439999999999</v>
      </c>
      <c r="AE67" s="118">
        <v>6132.8410000000003</v>
      </c>
      <c r="AF67" s="118">
        <v>6156.8850000000002</v>
      </c>
      <c r="AG67" s="118">
        <v>6433.82071995964</v>
      </c>
      <c r="AH67" s="137">
        <v>6673.0889999999999</v>
      </c>
      <c r="AI67" s="137">
        <v>6960.2740000000003</v>
      </c>
      <c r="AJ67" s="118">
        <v>7255.42</v>
      </c>
      <c r="AK67" s="118">
        <v>7508.3190000000004</v>
      </c>
      <c r="AL67" s="118">
        <v>7443.9210000000003</v>
      </c>
      <c r="AM67" s="118">
        <v>7610.3360000000002</v>
      </c>
      <c r="AN67" s="118">
        <v>7251.93</v>
      </c>
      <c r="AO67" s="118">
        <v>7390.241</v>
      </c>
      <c r="AP67" s="118">
        <v>7794.951</v>
      </c>
      <c r="AQ67" s="118">
        <v>7990.5410000000002</v>
      </c>
      <c r="AR67" s="118">
        <v>8218.3629999999994</v>
      </c>
      <c r="AS67" s="118">
        <v>7950.3230000000003</v>
      </c>
      <c r="AT67" s="118">
        <v>7572.6210000000001</v>
      </c>
      <c r="AU67" s="118">
        <v>8525.0619999999999</v>
      </c>
      <c r="AV67" s="118">
        <v>9186.4060000000009</v>
      </c>
      <c r="AW67" s="118">
        <v>10268.328</v>
      </c>
      <c r="AX67" s="118">
        <v>11255.781999999999</v>
      </c>
      <c r="AY67" s="118">
        <v>11667.482</v>
      </c>
      <c r="AZ67" s="118">
        <v>11984.393</v>
      </c>
      <c r="BA67" s="118">
        <v>12118.531999999999</v>
      </c>
      <c r="BB67" s="118">
        <v>11538.904</v>
      </c>
      <c r="BC67" s="118">
        <v>10840.022999999999</v>
      </c>
      <c r="BD67" s="118">
        <v>10758.927</v>
      </c>
      <c r="BE67" s="529">
        <v>11345.120999999999</v>
      </c>
      <c r="BF67" s="529">
        <v>11567.302</v>
      </c>
      <c r="BG67" s="529">
        <v>11817.063</v>
      </c>
      <c r="BH67" s="529">
        <v>11722.311</v>
      </c>
      <c r="BI67" s="529">
        <v>12850.035</v>
      </c>
      <c r="BJ67" s="529">
        <v>13259.138000000001</v>
      </c>
      <c r="BK67" s="529">
        <v>13958.994000000001</v>
      </c>
      <c r="BL67" s="529">
        <v>14441.647000000001</v>
      </c>
      <c r="BM67" s="529">
        <v>14554.619000000001</v>
      </c>
      <c r="BN67" s="529">
        <v>15153.25</v>
      </c>
      <c r="BO67" s="529">
        <v>16452.274000000001</v>
      </c>
      <c r="BP67" s="529">
        <v>17225.541000000001</v>
      </c>
      <c r="BQ67" s="529">
        <v>17763.780999999999</v>
      </c>
      <c r="BR67" s="529">
        <v>18623.751</v>
      </c>
      <c r="BS67" s="529"/>
      <c r="BT67" s="529"/>
      <c r="BU67" s="550"/>
      <c r="BW67" s="1118" t="s">
        <v>494</v>
      </c>
      <c r="BX67" s="1118"/>
      <c r="BY67" s="1118" t="s">
        <v>495</v>
      </c>
      <c r="CB67" s="9"/>
      <c r="CC67" s="9"/>
    </row>
    <row r="68" spans="1:81">
      <c r="C68" t="s">
        <v>487</v>
      </c>
      <c r="H68" s="118">
        <v>0</v>
      </c>
      <c r="I68" s="118">
        <v>0</v>
      </c>
      <c r="J68" s="118">
        <v>0.186</v>
      </c>
      <c r="K68" s="118">
        <v>21.338999999999999</v>
      </c>
      <c r="L68" s="118">
        <v>104.11499999999999</v>
      </c>
      <c r="M68" s="118">
        <v>211.773</v>
      </c>
      <c r="N68" s="118">
        <v>326.15199999999999</v>
      </c>
      <c r="O68" s="118">
        <v>424.666</v>
      </c>
      <c r="P68" s="118">
        <v>527.904</v>
      </c>
      <c r="Q68" s="118">
        <v>651.90700000000004</v>
      </c>
      <c r="R68" s="118">
        <v>786.44899999999996</v>
      </c>
      <c r="S68" s="118">
        <v>882.42</v>
      </c>
      <c r="T68" s="118">
        <v>1004.26</v>
      </c>
      <c r="U68" s="118">
        <v>1094.5930000000001</v>
      </c>
      <c r="V68" s="118">
        <v>1202.6389999999999</v>
      </c>
      <c r="W68" s="118">
        <v>1286.8630000000001</v>
      </c>
      <c r="X68" s="118">
        <v>1369.143</v>
      </c>
      <c r="Y68" s="118">
        <v>1446.085</v>
      </c>
      <c r="Z68" s="118">
        <v>1526.46</v>
      </c>
      <c r="AA68" s="118">
        <v>1531.7244754025</v>
      </c>
      <c r="AB68" s="118">
        <v>1567.3589816199999</v>
      </c>
      <c r="AC68" s="118">
        <v>1582.108365155</v>
      </c>
      <c r="AD68" s="118">
        <v>1679.796</v>
      </c>
      <c r="AE68" s="118">
        <v>1775.847</v>
      </c>
      <c r="AF68" s="118">
        <v>1840.4259999999999</v>
      </c>
      <c r="AG68" s="118">
        <v>1954.24685092</v>
      </c>
      <c r="AH68" s="137">
        <v>2083.9540000000002</v>
      </c>
      <c r="AI68" s="137">
        <v>2246.3560000000002</v>
      </c>
      <c r="AJ68" s="118">
        <v>2494.393</v>
      </c>
      <c r="AK68" s="118">
        <v>2738.748</v>
      </c>
      <c r="AL68" s="118">
        <v>2930.1439999999998</v>
      </c>
      <c r="AM68" s="118">
        <v>3179.1</v>
      </c>
      <c r="AN68" s="118">
        <v>3188.5219999999999</v>
      </c>
      <c r="AO68" s="118">
        <v>3241.4380000000001</v>
      </c>
      <c r="AP68" s="118">
        <v>3455.31</v>
      </c>
      <c r="AQ68" s="118">
        <v>3652.48</v>
      </c>
      <c r="AR68" s="118">
        <v>3901.35</v>
      </c>
      <c r="AS68" s="118">
        <v>3905.0619999999999</v>
      </c>
      <c r="AT68" s="118">
        <v>3871.3020000000001</v>
      </c>
      <c r="AU68" s="118">
        <v>4325.0929999999998</v>
      </c>
      <c r="AV68" s="118">
        <v>4702.5020000000004</v>
      </c>
      <c r="AW68" s="118">
        <v>5294.915</v>
      </c>
      <c r="AX68" s="118">
        <v>5915.1940000000004</v>
      </c>
      <c r="AY68" s="118">
        <v>6362.2389999999996</v>
      </c>
      <c r="AZ68" s="118">
        <v>6772.0410000000002</v>
      </c>
      <c r="BA68" s="118">
        <v>7076.7870000000003</v>
      </c>
      <c r="BB68" s="118">
        <v>6959.55</v>
      </c>
      <c r="BC68" s="118">
        <v>6816.8469999999998</v>
      </c>
      <c r="BD68" s="118">
        <v>6949.1379999999999</v>
      </c>
      <c r="BE68" s="529">
        <v>7337.7439999999997</v>
      </c>
      <c r="BF68" s="529">
        <v>7612.7389999999996</v>
      </c>
      <c r="BG68" s="529">
        <v>7850.2839999999997</v>
      </c>
      <c r="BH68" s="529">
        <v>7851.0569999999998</v>
      </c>
      <c r="BI68" s="529">
        <v>8805.7520000000004</v>
      </c>
      <c r="BJ68" s="529">
        <v>9375.9169999999995</v>
      </c>
      <c r="BK68" s="529">
        <v>10216.343999999999</v>
      </c>
      <c r="BL68" s="529">
        <v>11009.767</v>
      </c>
      <c r="BM68" s="529">
        <v>11536.665999999999</v>
      </c>
      <c r="BN68" s="529">
        <v>12166.886</v>
      </c>
      <c r="BO68" s="529">
        <v>13759.404</v>
      </c>
      <c r="BP68" s="529">
        <v>15070.343000000001</v>
      </c>
      <c r="BQ68" s="529">
        <v>16189.867</v>
      </c>
      <c r="BR68" s="529">
        <v>17759.755000000001</v>
      </c>
      <c r="BS68" s="529"/>
      <c r="BT68" s="529"/>
      <c r="BU68" s="550"/>
      <c r="BW68" s="1118" t="s">
        <v>494</v>
      </c>
      <c r="BX68" s="1118"/>
      <c r="BY68" s="1118" t="s">
        <v>495</v>
      </c>
      <c r="CB68" s="9"/>
      <c r="CC68" s="9"/>
    </row>
    <row r="69" spans="1:81">
      <c r="C69" t="s">
        <v>497</v>
      </c>
      <c r="H69" s="118">
        <v>0</v>
      </c>
      <c r="I69" s="118">
        <v>0</v>
      </c>
      <c r="J69" s="118">
        <v>0</v>
      </c>
      <c r="K69" s="118">
        <v>0</v>
      </c>
      <c r="L69" s="118">
        <v>0.249</v>
      </c>
      <c r="M69" s="118">
        <v>10.467000000000001</v>
      </c>
      <c r="N69" s="118">
        <v>75.358999999999995</v>
      </c>
      <c r="O69" s="118">
        <v>184.60900000000001</v>
      </c>
      <c r="P69" s="118">
        <v>316.983</v>
      </c>
      <c r="Q69" s="118">
        <v>441.15499999999997</v>
      </c>
      <c r="R69" s="118">
        <v>545.13</v>
      </c>
      <c r="S69" s="118">
        <v>648.34199999999998</v>
      </c>
      <c r="T69" s="118">
        <v>749.53700000000003</v>
      </c>
      <c r="U69" s="118">
        <v>838.80100000000004</v>
      </c>
      <c r="V69" s="118">
        <v>920.53399999999999</v>
      </c>
      <c r="W69" s="118">
        <v>986.26300000000003</v>
      </c>
      <c r="X69" s="118">
        <v>1035.0070000000001</v>
      </c>
      <c r="Y69" s="118">
        <v>1089.097</v>
      </c>
      <c r="Z69" s="118">
        <v>1162.1600000000001</v>
      </c>
      <c r="AA69" s="118">
        <v>1230.4940187625</v>
      </c>
      <c r="AB69" s="118">
        <v>1296.33743714</v>
      </c>
      <c r="AC69" s="118">
        <v>1365.9348683918899</v>
      </c>
      <c r="AD69" s="118">
        <v>1449.769</v>
      </c>
      <c r="AE69" s="118">
        <v>1539.2670000000001</v>
      </c>
      <c r="AF69" s="118">
        <v>1628.5440000000001</v>
      </c>
      <c r="AG69" s="118">
        <v>1699.2912608234701</v>
      </c>
      <c r="AH69" s="137">
        <v>1773.991</v>
      </c>
      <c r="AI69" s="137">
        <v>1836.31</v>
      </c>
      <c r="AJ69" s="118">
        <v>1889.6590000000001</v>
      </c>
      <c r="AK69" s="118">
        <v>1939.4880000000001</v>
      </c>
      <c r="AL69" s="118">
        <v>1996.78</v>
      </c>
      <c r="AM69" s="118">
        <v>2048.6770000000001</v>
      </c>
      <c r="AN69" s="118">
        <v>2116.752</v>
      </c>
      <c r="AO69" s="118">
        <v>2182.2629999999999</v>
      </c>
      <c r="AP69" s="118">
        <v>2246.819</v>
      </c>
      <c r="AQ69" s="118">
        <v>2295.5279999999998</v>
      </c>
      <c r="AR69" s="118">
        <v>2341.7939999999999</v>
      </c>
      <c r="AS69" s="118">
        <v>2389.279</v>
      </c>
      <c r="AT69" s="118">
        <v>2427.1489999999999</v>
      </c>
      <c r="AU69" s="118">
        <v>2445.9749999999999</v>
      </c>
      <c r="AV69" s="118">
        <v>2469.2350000000001</v>
      </c>
      <c r="AW69" s="118">
        <v>2494.6660000000002</v>
      </c>
      <c r="AX69" s="118">
        <v>2541.2570000000001</v>
      </c>
      <c r="AY69" s="118">
        <v>2584.9549999999999</v>
      </c>
      <c r="AZ69" s="118">
        <v>2619.8359999999998</v>
      </c>
      <c r="BA69" s="118">
        <v>2650.1840000000002</v>
      </c>
      <c r="BB69" s="118">
        <v>2677.4859999999999</v>
      </c>
      <c r="BC69" s="118">
        <v>2696.2350000000001</v>
      </c>
      <c r="BD69" s="118">
        <v>2710.0540000000001</v>
      </c>
      <c r="BE69" s="529">
        <v>2729.277</v>
      </c>
      <c r="BF69" s="529">
        <v>2760.319</v>
      </c>
      <c r="BG69" s="529">
        <v>2793.2179999999998</v>
      </c>
      <c r="BH69" s="529">
        <v>2806.739</v>
      </c>
      <c r="BI69" s="529">
        <v>2824.1469999999999</v>
      </c>
      <c r="BJ69" s="529">
        <v>2868.3389999999999</v>
      </c>
      <c r="BK69" s="529">
        <v>2907.9549999999999</v>
      </c>
      <c r="BL69" s="529">
        <v>2959.223</v>
      </c>
      <c r="BM69" s="529">
        <v>3003.0680000000002</v>
      </c>
      <c r="BN69" s="529">
        <v>3033.4340000000002</v>
      </c>
      <c r="BO69" s="529">
        <v>3061.4969999999998</v>
      </c>
      <c r="BP69" s="529">
        <v>3080.9380000000001</v>
      </c>
      <c r="BQ69" s="529">
        <v>3093.1529999999998</v>
      </c>
      <c r="BR69" s="529">
        <v>3120.7829999999999</v>
      </c>
      <c r="BS69" s="529"/>
      <c r="BT69" s="529"/>
      <c r="BU69" s="550"/>
      <c r="BW69" s="1118" t="s">
        <v>494</v>
      </c>
      <c r="BX69" s="1118"/>
      <c r="BY69" s="1118" t="s">
        <v>495</v>
      </c>
      <c r="CB69" s="9"/>
      <c r="CC69" s="124"/>
    </row>
    <row r="70" spans="1:81">
      <c r="C70" s="114" t="s">
        <v>484</v>
      </c>
      <c r="H70" s="118">
        <f>7313.751+4.445+305.208</f>
        <v>7623.4039999999995</v>
      </c>
      <c r="I70" s="118">
        <f>7928.424+6.222+307.716</f>
        <v>8242.3619999999992</v>
      </c>
      <c r="J70" s="118">
        <v>8587.6440000000002</v>
      </c>
      <c r="K70" s="118">
        <v>8191.9049999999997</v>
      </c>
      <c r="L70" s="118">
        <f>8082.556-0.249</f>
        <v>8082.3069999999998</v>
      </c>
      <c r="M70" s="118">
        <f>8717.353-10.467</f>
        <v>8706.8859999999986</v>
      </c>
      <c r="N70" s="118">
        <f>8971.862-75.359</f>
        <v>8896.5029999999988</v>
      </c>
      <c r="O70" s="118">
        <f>9245.285-184.609</f>
        <v>9060.6759999999995</v>
      </c>
      <c r="P70" s="118">
        <f>9661.18-316.983</f>
        <v>9344.1970000000001</v>
      </c>
      <c r="Q70" s="118">
        <v>9869.4110000000001</v>
      </c>
      <c r="R70" s="118">
        <v>10351.674999999999</v>
      </c>
      <c r="S70" s="118">
        <v>10686.525</v>
      </c>
      <c r="T70" s="118">
        <v>11410.003000000001</v>
      </c>
      <c r="U70" s="118">
        <v>11839.365</v>
      </c>
      <c r="V70" s="118">
        <v>12151.879000000001</v>
      </c>
      <c r="W70" s="118">
        <v>12548.018</v>
      </c>
      <c r="X70" s="118">
        <v>12747.843000000001</v>
      </c>
      <c r="Y70" s="118">
        <v>12994.97</v>
      </c>
      <c r="Z70" s="118">
        <v>13312.550999999999</v>
      </c>
      <c r="AA70" s="118">
        <v>12979.610936429999</v>
      </c>
      <c r="AB70" s="118">
        <v>12964.898587694999</v>
      </c>
      <c r="AC70" s="118">
        <v>12710.602198942501</v>
      </c>
      <c r="AD70" s="118">
        <v>13228.388999999999</v>
      </c>
      <c r="AE70" s="118">
        <v>13693.826999999999</v>
      </c>
      <c r="AF70" s="118">
        <v>13901.352999999999</v>
      </c>
      <c r="AG70" s="118">
        <v>14505.2878604703</v>
      </c>
      <c r="AH70" s="137">
        <v>14981.875</v>
      </c>
      <c r="AI70" s="137">
        <v>15394.123</v>
      </c>
      <c r="AJ70" s="118">
        <v>15927.741</v>
      </c>
      <c r="AK70" s="118">
        <v>16332.84</v>
      </c>
      <c r="AL70" s="118">
        <v>16175.858</v>
      </c>
      <c r="AM70" s="118">
        <v>16669.310000000001</v>
      </c>
      <c r="AN70" s="118">
        <v>15981.81</v>
      </c>
      <c r="AO70" s="118">
        <v>16057.248</v>
      </c>
      <c r="AP70" s="118">
        <v>16806.71</v>
      </c>
      <c r="AQ70" s="118">
        <v>17114.205999999998</v>
      </c>
      <c r="AR70" s="118">
        <v>17661.384999999998</v>
      </c>
      <c r="AS70" s="118">
        <v>17291.987000000001</v>
      </c>
      <c r="AT70" s="118">
        <v>16889.812999999998</v>
      </c>
      <c r="AU70" s="118">
        <v>18550.528999999999</v>
      </c>
      <c r="AV70" s="118">
        <v>19633.7</v>
      </c>
      <c r="AW70" s="118">
        <v>21290.821</v>
      </c>
      <c r="AX70" s="118">
        <v>22554.173999999999</v>
      </c>
      <c r="AY70" s="118">
        <v>23192.697</v>
      </c>
      <c r="AZ70" s="118">
        <v>23567.030999999999</v>
      </c>
      <c r="BA70" s="118">
        <v>23217.599999999999</v>
      </c>
      <c r="BB70" s="118">
        <v>21430.995999999999</v>
      </c>
      <c r="BC70" s="118">
        <v>20268.555999999997</v>
      </c>
      <c r="BD70" s="118">
        <v>20137.241999999998</v>
      </c>
      <c r="BE70" s="529">
        <v>20743.892</v>
      </c>
      <c r="BF70" s="529">
        <v>21323.315999999999</v>
      </c>
      <c r="BG70" s="529">
        <v>21998.847000000002</v>
      </c>
      <c r="BH70" s="529">
        <v>21761.562999999998</v>
      </c>
      <c r="BI70" s="529">
        <v>23664.909</v>
      </c>
      <c r="BJ70" s="529">
        <v>24663.485000000001</v>
      </c>
      <c r="BK70" s="529">
        <f>24670.554+987.953+354.999</f>
        <v>26013.506000000001</v>
      </c>
      <c r="BL70" s="529">
        <f>25534.963+1028.161+406.955</f>
        <v>26970.079000000002</v>
      </c>
      <c r="BM70" s="529">
        <f>25592.921+1039.194+453.453</f>
        <v>27085.567999999999</v>
      </c>
      <c r="BN70" s="529">
        <f>25506.988+510.233+1057.686</f>
        <v>27074.907000000003</v>
      </c>
      <c r="BO70" s="529">
        <f>27423.845+549.558+1154.041</f>
        <v>29127.444000000003</v>
      </c>
      <c r="BP70" s="529">
        <f>28403.983+602.527+1203.152</f>
        <v>30209.662000000004</v>
      </c>
      <c r="BQ70" s="529">
        <f>28404.45+1216.396+654.859</f>
        <v>30275.705000000002</v>
      </c>
      <c r="BR70" s="529">
        <f>29460.796+731.44+1258.556</f>
        <v>31450.791999999998</v>
      </c>
      <c r="BS70" s="529"/>
      <c r="BT70" s="529"/>
      <c r="BU70" s="550"/>
      <c r="BW70" s="1118" t="s">
        <v>494</v>
      </c>
      <c r="BX70" s="1118"/>
      <c r="BY70" s="1118" t="s">
        <v>495</v>
      </c>
      <c r="CB70" s="9"/>
      <c r="CC70" s="17"/>
    </row>
    <row r="71" spans="1:81">
      <c r="C71" t="s">
        <v>276</v>
      </c>
      <c r="H71" s="118">
        <v>2326.6</v>
      </c>
      <c r="I71" s="118">
        <v>2477.317</v>
      </c>
      <c r="J71" s="118">
        <v>2545.4189999999999</v>
      </c>
      <c r="K71" s="118">
        <v>2478.8679999999999</v>
      </c>
      <c r="L71" s="118">
        <v>2454.3739999999998</v>
      </c>
      <c r="M71" s="118">
        <v>2498.6770000000001</v>
      </c>
      <c r="N71" s="118">
        <v>2527.319</v>
      </c>
      <c r="O71" s="118">
        <v>2541.884</v>
      </c>
      <c r="P71" s="118">
        <v>2596.3049999999998</v>
      </c>
      <c r="Q71" s="118">
        <v>2624.0990000000002</v>
      </c>
      <c r="R71" s="118">
        <v>2601.2629999999999</v>
      </c>
      <c r="S71" s="118">
        <v>2528.7449999999999</v>
      </c>
      <c r="T71" s="118">
        <v>2546.395</v>
      </c>
      <c r="U71" s="118">
        <v>2449.1869999999999</v>
      </c>
      <c r="V71" s="118">
        <v>2506.9450000000002</v>
      </c>
      <c r="W71" s="118">
        <v>2546.8000000000002</v>
      </c>
      <c r="X71" s="118">
        <v>2462.4369999999999</v>
      </c>
      <c r="Y71" s="118">
        <v>2389.9540000000002</v>
      </c>
      <c r="Z71" s="118">
        <v>2381.3159999999998</v>
      </c>
      <c r="AA71" s="118">
        <v>2205.3861140372701</v>
      </c>
      <c r="AB71" s="118">
        <v>2112.33777535945</v>
      </c>
      <c r="AC71" s="118">
        <v>2119.6325512235799</v>
      </c>
      <c r="AD71" s="118">
        <v>2289.319</v>
      </c>
      <c r="AE71" s="118">
        <v>2339.0909999999999</v>
      </c>
      <c r="AF71" s="118">
        <v>2301.3229999999999</v>
      </c>
      <c r="AG71" s="118">
        <v>2331.31114465876</v>
      </c>
      <c r="AH71" s="137">
        <v>2374.723</v>
      </c>
      <c r="AI71" s="137">
        <v>2462.5300000000002</v>
      </c>
      <c r="AJ71" s="118">
        <v>2512.7570000000001</v>
      </c>
      <c r="AK71" s="118">
        <v>2510.049</v>
      </c>
      <c r="AL71" s="118">
        <v>2402.3829999999998</v>
      </c>
      <c r="AM71" s="118">
        <v>2416.556</v>
      </c>
      <c r="AN71" s="118">
        <v>2310.5349999999999</v>
      </c>
      <c r="AO71" s="118">
        <v>2313.625</v>
      </c>
      <c r="AP71" s="118">
        <v>2377.7959999999998</v>
      </c>
      <c r="AQ71" s="118">
        <v>2427.7089999999998</v>
      </c>
      <c r="AR71" s="118">
        <v>2455.415</v>
      </c>
      <c r="AS71" s="118">
        <v>2365.6480000000001</v>
      </c>
      <c r="AT71" s="118">
        <v>2291.0450000000001</v>
      </c>
      <c r="AU71" s="118">
        <v>2460.9920000000002</v>
      </c>
      <c r="AV71" s="118">
        <v>2535.5720000000001</v>
      </c>
      <c r="AW71" s="118">
        <v>2621.5340000000001</v>
      </c>
      <c r="AX71" s="118">
        <v>2713.4560000000001</v>
      </c>
      <c r="AY71" s="118">
        <v>2731.9589999999998</v>
      </c>
      <c r="AZ71" s="118">
        <v>2726.9029999999998</v>
      </c>
      <c r="BA71" s="118">
        <v>2710.2530000000002</v>
      </c>
      <c r="BB71" s="118">
        <v>2517.3290000000002</v>
      </c>
      <c r="BC71" s="118">
        <v>2367.846</v>
      </c>
      <c r="BD71" s="118">
        <v>2298.6210000000001</v>
      </c>
      <c r="BE71" s="529">
        <v>2328.7139999999999</v>
      </c>
      <c r="BF71" s="529">
        <v>2323.6669999999999</v>
      </c>
      <c r="BG71" s="529">
        <v>2297.7370000000001</v>
      </c>
      <c r="BH71" s="529">
        <v>2231.5050000000001</v>
      </c>
      <c r="BI71" s="529">
        <v>2343.5120000000002</v>
      </c>
      <c r="BJ71" s="529">
        <v>2266.4340000000002</v>
      </c>
      <c r="BK71" s="529">
        <v>2334.2570000000001</v>
      </c>
      <c r="BL71" s="529">
        <v>2312.1019999999999</v>
      </c>
      <c r="BM71" s="529">
        <v>2188.558</v>
      </c>
      <c r="BN71" s="529">
        <v>2222.904</v>
      </c>
      <c r="BO71" s="529">
        <v>2306.7190000000001</v>
      </c>
      <c r="BP71" s="529">
        <v>2300.5340000000001</v>
      </c>
      <c r="BQ71" s="529">
        <f>2243.466+66.065</f>
        <v>2309.5309999999999</v>
      </c>
      <c r="BR71" s="529">
        <v>2296.915</v>
      </c>
      <c r="BS71" s="529"/>
      <c r="BT71" s="529"/>
      <c r="BU71" s="550"/>
      <c r="BW71" s="1118" t="s">
        <v>494</v>
      </c>
      <c r="BX71" s="1118"/>
      <c r="BY71" s="1118" t="s">
        <v>495</v>
      </c>
      <c r="CB71" s="9"/>
      <c r="CC71" s="17"/>
    </row>
    <row r="72" spans="1:81" ht="15" thickBot="1">
      <c r="D72" t="s">
        <v>251</v>
      </c>
      <c r="H72" s="136">
        <f t="shared" ref="H72" si="93">SUM(H66:H71)</f>
        <v>33610.57</v>
      </c>
      <c r="I72" s="136">
        <f t="shared" ref="I72:AM72" si="94">SUM(I66:I71)</f>
        <v>35601.978999999999</v>
      </c>
      <c r="J72" s="136">
        <f t="shared" si="94"/>
        <v>36463.054000000004</v>
      </c>
      <c r="K72" s="136">
        <f t="shared" si="94"/>
        <v>34191.984000000004</v>
      </c>
      <c r="L72" s="136">
        <f t="shared" si="94"/>
        <v>33224.316000000006</v>
      </c>
      <c r="M72" s="136">
        <f t="shared" si="94"/>
        <v>35121.766000000003</v>
      </c>
      <c r="N72" s="136">
        <f t="shared" si="94"/>
        <v>35549.627</v>
      </c>
      <c r="O72" s="136">
        <f t="shared" si="94"/>
        <v>35962.230000000003</v>
      </c>
      <c r="P72" s="136">
        <f t="shared" si="94"/>
        <v>36983.390999999996</v>
      </c>
      <c r="Q72" s="136">
        <f t="shared" si="94"/>
        <v>38756.489000000001</v>
      </c>
      <c r="R72" s="136">
        <f t="shared" si="94"/>
        <v>40325.610999999997</v>
      </c>
      <c r="S72" s="136">
        <f t="shared" si="94"/>
        <v>41224.502999999997</v>
      </c>
      <c r="T72" s="136">
        <f t="shared" si="94"/>
        <v>43831.818999999996</v>
      </c>
      <c r="U72" s="136">
        <f t="shared" si="94"/>
        <v>45063.471999999994</v>
      </c>
      <c r="V72" s="136">
        <f t="shared" si="94"/>
        <v>46611.368999999999</v>
      </c>
      <c r="W72" s="136">
        <f t="shared" si="94"/>
        <v>47825.279000000002</v>
      </c>
      <c r="X72" s="136">
        <f t="shared" si="94"/>
        <v>48242.565999999999</v>
      </c>
      <c r="Y72" s="136">
        <f t="shared" si="94"/>
        <v>48742.894999999997</v>
      </c>
      <c r="Z72" s="136">
        <f t="shared" si="94"/>
        <v>49658.078999999998</v>
      </c>
      <c r="AA72" s="136">
        <f t="shared" si="94"/>
        <v>47963.364052918922</v>
      </c>
      <c r="AB72" s="136">
        <f t="shared" si="94"/>
        <v>47542.044111973133</v>
      </c>
      <c r="AC72" s="136">
        <f t="shared" si="94"/>
        <v>46646.167851643542</v>
      </c>
      <c r="AD72" s="136">
        <f t="shared" si="94"/>
        <v>48936.112999999998</v>
      </c>
      <c r="AE72" s="136">
        <f t="shared" si="94"/>
        <v>50678.784</v>
      </c>
      <c r="AF72" s="136">
        <f t="shared" si="94"/>
        <v>51445.493999999999</v>
      </c>
      <c r="AG72" s="136">
        <f t="shared" si="94"/>
        <v>53823.159909564165</v>
      </c>
      <c r="AH72" s="136">
        <f t="shared" si="94"/>
        <v>55777.889000000003</v>
      </c>
      <c r="AI72" s="136">
        <f t="shared" si="94"/>
        <v>57656.068999999996</v>
      </c>
      <c r="AJ72" s="136">
        <f t="shared" si="94"/>
        <v>59905.845999999998</v>
      </c>
      <c r="AK72" s="136">
        <f t="shared" si="94"/>
        <v>61703.717000000004</v>
      </c>
      <c r="AL72" s="136">
        <f t="shared" si="94"/>
        <v>61297.078000000001</v>
      </c>
      <c r="AM72" s="136">
        <f t="shared" si="94"/>
        <v>63362.523000000001</v>
      </c>
      <c r="AN72" s="136">
        <f>SUM(AN66:AN71)</f>
        <v>61006.01999999999</v>
      </c>
      <c r="AO72" s="136">
        <f t="shared" ref="AO72:BL72" si="95">SUM(AO66:AO71)</f>
        <v>61451.296000000002</v>
      </c>
      <c r="AP72" s="136">
        <f t="shared" si="95"/>
        <v>64425.503000000004</v>
      </c>
      <c r="AQ72" s="136">
        <f t="shared" si="95"/>
        <v>66001.550999999992</v>
      </c>
      <c r="AR72" s="136">
        <f t="shared" si="95"/>
        <v>68236.311999999991</v>
      </c>
      <c r="AS72" s="136">
        <f t="shared" si="95"/>
        <v>66594.801999999996</v>
      </c>
      <c r="AT72" s="136">
        <f t="shared" si="95"/>
        <v>64638.428</v>
      </c>
      <c r="AU72" s="136">
        <f t="shared" si="95"/>
        <v>71511.697</v>
      </c>
      <c r="AV72" s="136">
        <f t="shared" si="95"/>
        <v>76089.763000000006</v>
      </c>
      <c r="AW72" s="136">
        <f>SUM(AW66:AW71)</f>
        <v>83130.937999999995</v>
      </c>
      <c r="AX72" s="136">
        <f t="shared" si="95"/>
        <v>89378.062000000005</v>
      </c>
      <c r="AY72" s="136">
        <f t="shared" si="95"/>
        <v>92651.844000000012</v>
      </c>
      <c r="AZ72" s="136">
        <f t="shared" si="95"/>
        <v>94809.335000000006</v>
      </c>
      <c r="BA72" s="136">
        <f t="shared" si="95"/>
        <v>94202.808999999979</v>
      </c>
      <c r="BB72" s="136">
        <f t="shared" si="95"/>
        <v>87993.866999999998</v>
      </c>
      <c r="BC72" s="136">
        <f t="shared" si="95"/>
        <v>83320.090000000011</v>
      </c>
      <c r="BD72" s="136">
        <f t="shared" si="95"/>
        <v>83255.630999999994</v>
      </c>
      <c r="BE72" s="546">
        <f t="shared" si="95"/>
        <v>86581.162000000011</v>
      </c>
      <c r="BF72" s="546">
        <f t="shared" si="95"/>
        <v>88812.656000000003</v>
      </c>
      <c r="BG72" s="546">
        <f t="shared" si="95"/>
        <v>91505.356</v>
      </c>
      <c r="BH72" s="546">
        <f t="shared" si="95"/>
        <v>90995.380999999994</v>
      </c>
      <c r="BI72" s="546">
        <f t="shared" si="95"/>
        <v>99501.597000000009</v>
      </c>
      <c r="BJ72" s="546">
        <f t="shared" si="95"/>
        <v>102993.29799999998</v>
      </c>
      <c r="BK72" s="546">
        <f t="shared" si="95"/>
        <v>108151.67599999999</v>
      </c>
      <c r="BL72" s="546">
        <f t="shared" si="95"/>
        <v>112323.26299999999</v>
      </c>
      <c r="BM72" s="546">
        <f t="shared" ref="BM72:BP72" si="96">SUM(BM66:BM71)</f>
        <v>113017.531</v>
      </c>
      <c r="BN72" s="546">
        <f t="shared" si="96"/>
        <v>113975.30899999999</v>
      </c>
      <c r="BO72" s="546">
        <f t="shared" si="96"/>
        <v>123116.872</v>
      </c>
      <c r="BP72" s="546">
        <f t="shared" si="96"/>
        <v>128175.20900000002</v>
      </c>
      <c r="BQ72" s="546">
        <f t="shared" ref="BQ72:BR72" si="97">SUM(BQ66:BQ71)</f>
        <v>129875.145</v>
      </c>
      <c r="BR72" s="546">
        <f t="shared" si="97"/>
        <v>135549.69</v>
      </c>
      <c r="BS72" s="546">
        <f t="shared" ref="BS72:BT72" si="98">SUM(BS66:BS71)</f>
        <v>0</v>
      </c>
      <c r="BT72" s="546">
        <f t="shared" si="98"/>
        <v>0</v>
      </c>
      <c r="BW72" s="1118"/>
      <c r="BX72" s="1118"/>
      <c r="BY72" s="1118"/>
      <c r="CB72" s="9"/>
      <c r="CC72" s="9"/>
    </row>
    <row r="73" spans="1:81" ht="15" thickTop="1">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544"/>
      <c r="BF73" s="544"/>
      <c r="BG73" s="544"/>
      <c r="BH73" s="544"/>
      <c r="BI73" s="544"/>
      <c r="BJ73" s="544"/>
      <c r="BK73" s="544"/>
      <c r="BL73" s="544"/>
      <c r="BM73" s="544"/>
      <c r="BN73" s="544"/>
      <c r="BO73" s="544"/>
      <c r="BP73" s="544"/>
      <c r="BQ73" s="544"/>
      <c r="BR73" s="544"/>
      <c r="BS73" s="544"/>
      <c r="BT73" s="544"/>
      <c r="CB73" s="9"/>
      <c r="CC73" s="9"/>
    </row>
    <row r="74" spans="1:81">
      <c r="B74" t="s">
        <v>498</v>
      </c>
      <c r="H74" s="118">
        <v>2693.6190000000001</v>
      </c>
      <c r="I74" s="118">
        <v>2662.4639999999999</v>
      </c>
      <c r="J74" s="118">
        <v>2610.7800000000002</v>
      </c>
      <c r="K74" s="118">
        <v>2625.8719999999998</v>
      </c>
      <c r="L74" s="118">
        <v>2610.5630000000001</v>
      </c>
      <c r="M74" s="118">
        <v>2584.4180000000001</v>
      </c>
      <c r="N74" s="118">
        <v>2583.462</v>
      </c>
      <c r="O74" s="118">
        <v>2551.6329999999998</v>
      </c>
      <c r="P74" s="118">
        <v>2546.6219999999998</v>
      </c>
      <c r="Q74" s="118">
        <v>2535.5369999999998</v>
      </c>
      <c r="R74" s="118">
        <v>2522.4070000000002</v>
      </c>
      <c r="S74" s="118">
        <v>2536.991</v>
      </c>
      <c r="T74" s="118">
        <v>2565.529</v>
      </c>
      <c r="U74" s="118">
        <v>2587.2359999999999</v>
      </c>
      <c r="V74" s="118">
        <v>2614.0810000000001</v>
      </c>
      <c r="W74" s="118">
        <v>2636.0770000000002</v>
      </c>
      <c r="X74" s="118">
        <v>2650.7829999999999</v>
      </c>
      <c r="Y74" s="118">
        <v>2695.0360000000001</v>
      </c>
      <c r="Z74" s="118">
        <v>2821.6880000000001</v>
      </c>
      <c r="AA74" s="118">
        <v>2840.6239999999998</v>
      </c>
      <c r="AB74" s="118">
        <v>2852.7809999999999</v>
      </c>
      <c r="AC74" s="118">
        <v>2856.8180000000002</v>
      </c>
      <c r="AD74" s="118">
        <v>2883.6260000000002</v>
      </c>
      <c r="AE74" s="118">
        <v>2893.2339999999999</v>
      </c>
      <c r="AF74" s="118">
        <v>2875.0189999999998</v>
      </c>
      <c r="AG74" s="118">
        <v>2887.49</v>
      </c>
      <c r="AH74" s="118">
        <v>2913.473</v>
      </c>
      <c r="AI74" s="118">
        <v>2912.6880000000001</v>
      </c>
      <c r="AJ74" s="118">
        <v>2892.2080000000001</v>
      </c>
      <c r="AK74" s="118">
        <v>2794.7669999999998</v>
      </c>
      <c r="AL74" s="118">
        <v>2746.1979999999999</v>
      </c>
      <c r="AM74" s="118">
        <v>2723.2150000000001</v>
      </c>
      <c r="AN74" s="118">
        <v>2693.808</v>
      </c>
      <c r="AO74" s="118">
        <v>2638.7310000000002</v>
      </c>
      <c r="AP74" s="118">
        <v>2636.92</v>
      </c>
      <c r="AQ74" s="118">
        <v>2652.5920000000001</v>
      </c>
      <c r="AR74" s="118">
        <v>2670.0479999999998</v>
      </c>
      <c r="AS74" s="118">
        <v>2688.8359999999998</v>
      </c>
      <c r="AT74" s="118">
        <v>2718.48</v>
      </c>
      <c r="AU74" s="118">
        <v>2757.0169999999998</v>
      </c>
      <c r="AV74" s="118">
        <v>2788.3180000000002</v>
      </c>
      <c r="AW74" s="118">
        <v>2829.6089999999999</v>
      </c>
      <c r="AX74" s="118">
        <v>2899.22</v>
      </c>
      <c r="AY74" s="118">
        <v>2953.6930000000002</v>
      </c>
      <c r="AZ74" s="118">
        <v>2997.7779999999998</v>
      </c>
      <c r="BA74" s="118">
        <v>3040.47</v>
      </c>
      <c r="BB74" s="118">
        <v>3089.21</v>
      </c>
      <c r="BC74" s="118">
        <v>3115.348</v>
      </c>
      <c r="BD74" s="118">
        <v>3133.5529999999999</v>
      </c>
      <c r="BE74" s="529">
        <v>3145.462</v>
      </c>
      <c r="BF74" s="529">
        <v>3165.4180000000001</v>
      </c>
      <c r="BG74" s="529">
        <v>3181.3530000000001</v>
      </c>
      <c r="BH74" s="529">
        <v>3193.0949999999998</v>
      </c>
      <c r="BI74" s="529">
        <v>3206.241</v>
      </c>
      <c r="BJ74" s="529">
        <v>3235.4870000000001</v>
      </c>
      <c r="BK74" s="529">
        <v>3258.377</v>
      </c>
      <c r="BL74" s="529">
        <v>3281.37</v>
      </c>
      <c r="BM74" s="529">
        <v>3304.0439999999999</v>
      </c>
      <c r="BN74" s="529">
        <v>3329.5419999999999</v>
      </c>
      <c r="BO74" s="529">
        <v>3350.2559999999999</v>
      </c>
      <c r="BP74" s="529">
        <v>3371.7069999999999</v>
      </c>
      <c r="BQ74" s="529">
        <v>3390.6619999999998</v>
      </c>
      <c r="BR74" s="529">
        <v>3421.1640000000002</v>
      </c>
      <c r="BS74" s="529"/>
      <c r="BT74" s="529"/>
      <c r="BW74" s="1118" t="s">
        <v>499</v>
      </c>
      <c r="CB74" s="9"/>
      <c r="CC74" s="9"/>
    </row>
    <row r="75" spans="1:81">
      <c r="B75" s="91" t="s">
        <v>500</v>
      </c>
      <c r="H75" s="118">
        <v>1973.6610000000001</v>
      </c>
      <c r="I75" s="118">
        <v>1966.1759999999999</v>
      </c>
      <c r="J75" s="118">
        <v>1940.049</v>
      </c>
      <c r="K75" s="118">
        <v>1959.383</v>
      </c>
      <c r="L75" s="118">
        <v>1957.076</v>
      </c>
      <c r="M75" s="118">
        <v>1945.002</v>
      </c>
      <c r="N75" s="118">
        <v>1947.653</v>
      </c>
      <c r="O75" s="118">
        <v>1944.617</v>
      </c>
      <c r="P75" s="118">
        <v>1942.2429999999999</v>
      </c>
      <c r="Q75" s="118">
        <v>1939.8340000000001</v>
      </c>
      <c r="R75" s="118">
        <v>1946.4749999999999</v>
      </c>
      <c r="S75" s="118">
        <v>1954.8409999999999</v>
      </c>
      <c r="T75" s="118">
        <v>1975.28</v>
      </c>
      <c r="U75" s="118">
        <v>1991.078</v>
      </c>
      <c r="V75" s="118">
        <v>2010.575</v>
      </c>
      <c r="W75" s="118">
        <v>2025.566</v>
      </c>
      <c r="X75" s="118">
        <v>2034.4839999999999</v>
      </c>
      <c r="Y75" s="118">
        <v>2067.19</v>
      </c>
      <c r="Z75" s="118">
        <v>2165.0630000000001</v>
      </c>
      <c r="AA75" s="118">
        <v>2178.7849999999999</v>
      </c>
      <c r="AB75" s="118">
        <v>2188.3809999999999</v>
      </c>
      <c r="AC75" s="118">
        <v>2191.2370000000001</v>
      </c>
      <c r="AD75" s="118">
        <v>2199.8069999999998</v>
      </c>
      <c r="AE75" s="118">
        <v>2202.9499999999998</v>
      </c>
      <c r="AF75" s="118">
        <v>2208.6590000000001</v>
      </c>
      <c r="AG75" s="118">
        <v>2217.9724999999999</v>
      </c>
      <c r="AH75" s="118">
        <v>2237.4699999999998</v>
      </c>
      <c r="AI75" s="118">
        <v>2234.5619999999999</v>
      </c>
      <c r="AJ75" s="118">
        <v>2215.2869999999998</v>
      </c>
      <c r="AK75" s="118">
        <v>2129.8119999999999</v>
      </c>
      <c r="AL75" s="118">
        <v>2086.165</v>
      </c>
      <c r="AM75" s="118">
        <v>2066.2190000000001</v>
      </c>
      <c r="AN75" s="118">
        <v>2042.2850000000001</v>
      </c>
      <c r="AO75" s="118">
        <v>1998.0989999999999</v>
      </c>
      <c r="AP75" s="118">
        <v>1996.3789999999999</v>
      </c>
      <c r="AQ75" s="118">
        <v>2006.9970000000001</v>
      </c>
      <c r="AR75" s="118">
        <v>2019.77</v>
      </c>
      <c r="AS75" s="118">
        <v>2030.652</v>
      </c>
      <c r="AT75" s="118">
        <v>2047.5419999999999</v>
      </c>
      <c r="AU75" s="118">
        <v>2071.5639999999999</v>
      </c>
      <c r="AV75" s="118">
        <v>2091.3110000000001</v>
      </c>
      <c r="AW75" s="118">
        <v>2115.442</v>
      </c>
      <c r="AX75" s="118">
        <v>2158.5909999999999</v>
      </c>
      <c r="AY75" s="118">
        <v>2191.7269999999999</v>
      </c>
      <c r="AZ75" s="118">
        <v>2218.2669999999998</v>
      </c>
      <c r="BA75" s="118">
        <v>2243.3780000000002</v>
      </c>
      <c r="BB75" s="118">
        <v>2276.9299999999998</v>
      </c>
      <c r="BC75" s="118">
        <v>2295.319</v>
      </c>
      <c r="BD75" s="118">
        <v>2308.587</v>
      </c>
      <c r="BE75" s="529">
        <v>2316.0149999999999</v>
      </c>
      <c r="BF75" s="529">
        <v>2331.0149999999999</v>
      </c>
      <c r="BG75" s="529">
        <v>2342.2350000000001</v>
      </c>
      <c r="BH75" s="529">
        <v>2350.8710000000001</v>
      </c>
      <c r="BI75" s="529">
        <v>2358.9490000000001</v>
      </c>
      <c r="BJ75" s="529">
        <v>2378.3690000000001</v>
      </c>
      <c r="BK75" s="529">
        <v>2393.1010000000001</v>
      </c>
      <c r="BL75" s="529">
        <v>2407.0329999999999</v>
      </c>
      <c r="BM75" s="529">
        <v>2419.1179999999999</v>
      </c>
      <c r="BN75" s="529">
        <v>2436.5520000000001</v>
      </c>
      <c r="BO75" s="529">
        <v>2448.3939999999998</v>
      </c>
      <c r="BP75" s="529">
        <v>2459.3879999999999</v>
      </c>
      <c r="BQ75" s="529">
        <v>2467.0590000000002</v>
      </c>
      <c r="BR75" s="529">
        <v>2483.3229999999999</v>
      </c>
      <c r="BS75" s="529"/>
      <c r="BT75" s="529"/>
      <c r="BW75" s="1118" t="s">
        <v>499</v>
      </c>
      <c r="CB75" s="9"/>
      <c r="CC75" s="9"/>
    </row>
    <row r="76" spans="1:81">
      <c r="CB76" s="9"/>
      <c r="CC76" s="9"/>
    </row>
    <row r="77" spans="1:81" s="78" customFormat="1">
      <c r="A77" s="131" t="s">
        <v>501</v>
      </c>
      <c r="BE77" s="527"/>
      <c r="BF77" s="527"/>
      <c r="BG77" s="527"/>
      <c r="BH77" s="527"/>
      <c r="BI77" s="527"/>
      <c r="BJ77" s="527"/>
      <c r="BK77" s="527"/>
      <c r="BL77" s="527"/>
      <c r="BM77" s="527"/>
      <c r="BN77" s="527"/>
      <c r="BO77" s="527"/>
      <c r="BP77" s="527"/>
      <c r="BQ77" s="527"/>
      <c r="BR77" s="527"/>
      <c r="BS77" s="527"/>
      <c r="BT77" s="527"/>
      <c r="BU77" s="527"/>
      <c r="BV77" s="527"/>
      <c r="BW77" s="528"/>
      <c r="BX77" s="528"/>
      <c r="BY77" s="528"/>
      <c r="BZ77" s="528"/>
      <c r="CA77" s="528"/>
      <c r="CB77" s="12"/>
      <c r="CC77" s="12"/>
    </row>
    <row r="78" spans="1:81">
      <c r="B78" t="s">
        <v>502</v>
      </c>
      <c r="H78" s="118">
        <v>49882</v>
      </c>
      <c r="I78" s="118">
        <f>14790+16387+21636</f>
        <v>52813</v>
      </c>
      <c r="J78" s="118">
        <v>65138</v>
      </c>
      <c r="K78" s="118">
        <v>83074</v>
      </c>
      <c r="L78" s="118">
        <v>43731</v>
      </c>
      <c r="M78" s="118">
        <v>58551</v>
      </c>
      <c r="N78" s="118">
        <v>48976</v>
      </c>
      <c r="O78" s="118">
        <v>47639</v>
      </c>
      <c r="P78" s="118">
        <v>36586</v>
      </c>
      <c r="Q78" s="118">
        <v>46348</v>
      </c>
      <c r="R78" s="118">
        <v>50358</v>
      </c>
      <c r="S78" s="118">
        <v>51523</v>
      </c>
      <c r="T78" s="118">
        <v>38022</v>
      </c>
      <c r="U78" s="118">
        <v>48306</v>
      </c>
      <c r="V78" s="118">
        <v>50024</v>
      </c>
      <c r="W78" s="118">
        <v>49055</v>
      </c>
      <c r="X78" s="118">
        <v>43054</v>
      </c>
      <c r="Y78" s="118">
        <v>53300</v>
      </c>
      <c r="Z78" s="118">
        <v>60246</v>
      </c>
      <c r="AA78" s="118">
        <v>65945</v>
      </c>
      <c r="AB78" s="118">
        <v>48624</v>
      </c>
      <c r="AC78" s="118">
        <v>63427</v>
      </c>
      <c r="AD78" s="118">
        <v>65273</v>
      </c>
      <c r="AE78" s="118">
        <v>73706</v>
      </c>
      <c r="AF78" s="118">
        <v>60326</v>
      </c>
      <c r="AG78" s="118">
        <v>70983</v>
      </c>
      <c r="AH78" s="118">
        <v>78273</v>
      </c>
      <c r="AI78" s="118">
        <v>90210</v>
      </c>
      <c r="AJ78" s="118">
        <v>64401</v>
      </c>
      <c r="AK78" s="118">
        <v>76230</v>
      </c>
      <c r="AL78" s="118">
        <v>76520</v>
      </c>
      <c r="AM78" s="118">
        <v>76146</v>
      </c>
      <c r="AN78" s="118">
        <v>61990</v>
      </c>
      <c r="AO78" s="118">
        <v>63223</v>
      </c>
      <c r="AP78" s="118">
        <v>86173</v>
      </c>
      <c r="AQ78" s="118">
        <v>72345</v>
      </c>
      <c r="AR78" s="118">
        <v>60466</v>
      </c>
      <c r="AS78" s="118">
        <v>84762</v>
      </c>
      <c r="AT78" s="118">
        <v>133123</v>
      </c>
      <c r="AU78" s="118">
        <v>101861</v>
      </c>
      <c r="AV78" s="118">
        <v>80599</v>
      </c>
      <c r="AW78" s="118">
        <v>94633</v>
      </c>
      <c r="AX78" s="118">
        <v>89285</v>
      </c>
      <c r="AY78" s="118">
        <v>91884</v>
      </c>
      <c r="AZ78" s="118">
        <v>73572</v>
      </c>
      <c r="BA78" s="118">
        <v>84707</v>
      </c>
      <c r="BB78" s="118">
        <v>70215</v>
      </c>
      <c r="BC78" s="118">
        <v>127788</v>
      </c>
      <c r="BD78" s="118">
        <v>77025</v>
      </c>
      <c r="BE78" s="529">
        <v>93540</v>
      </c>
      <c r="BF78" s="529">
        <v>86124</v>
      </c>
      <c r="BG78" s="529">
        <v>92269</v>
      </c>
      <c r="BH78" s="529">
        <v>89992</v>
      </c>
      <c r="BI78" s="529">
        <v>110710</v>
      </c>
      <c r="BJ78" s="529">
        <v>96563</v>
      </c>
      <c r="BK78" s="529">
        <v>142655</v>
      </c>
      <c r="BL78" s="529">
        <v>95497</v>
      </c>
      <c r="BM78" s="529">
        <v>100867</v>
      </c>
      <c r="BN78" s="529">
        <v>80924</v>
      </c>
      <c r="BO78" s="529">
        <v>101156</v>
      </c>
      <c r="BP78" s="529">
        <v>75369</v>
      </c>
      <c r="BQ78" s="529">
        <v>84217</v>
      </c>
      <c r="BR78" s="529">
        <v>82346</v>
      </c>
      <c r="BS78" s="529"/>
      <c r="BT78" s="529"/>
      <c r="BW78" s="1118" t="s">
        <v>466</v>
      </c>
      <c r="CB78" s="9"/>
      <c r="CC78" s="9"/>
    </row>
    <row r="79" spans="1:81">
      <c r="BW79" s="1118"/>
      <c r="CB79" s="119"/>
    </row>
    <row r="80" spans="1:81">
      <c r="B80" t="s">
        <v>503</v>
      </c>
      <c r="AP80" s="127">
        <v>0.66079999999999994</v>
      </c>
      <c r="AQ80" s="127">
        <v>12.336478999999999</v>
      </c>
      <c r="AR80" s="127">
        <v>18.123460999999999</v>
      </c>
      <c r="AS80" s="127">
        <v>12.882695999999999</v>
      </c>
      <c r="AT80" s="127">
        <v>65.827846000000008</v>
      </c>
      <c r="AU80" s="127">
        <v>160.02976899999999</v>
      </c>
      <c r="AV80" s="127">
        <v>203.789469</v>
      </c>
      <c r="AW80" s="127">
        <v>262.25900000000001</v>
      </c>
      <c r="AX80" s="127">
        <v>298.56099999999998</v>
      </c>
      <c r="AY80" s="127">
        <v>337.59100000000001</v>
      </c>
      <c r="AZ80" s="127">
        <v>330.75099999999998</v>
      </c>
      <c r="BA80" s="127">
        <v>235.87</v>
      </c>
      <c r="BB80" s="127">
        <v>152.68100000000001</v>
      </c>
      <c r="BC80" s="127">
        <v>99.777000000000001</v>
      </c>
      <c r="BD80" s="127">
        <v>78.906999999999996</v>
      </c>
      <c r="BE80" s="538">
        <v>55.554000000000002</v>
      </c>
      <c r="BF80" s="538">
        <v>82.18</v>
      </c>
      <c r="BG80" s="538">
        <v>82.715999999999994</v>
      </c>
      <c r="BH80" s="538">
        <v>72.938999999999993</v>
      </c>
      <c r="BI80" s="538">
        <v>71.411000000000001</v>
      </c>
      <c r="BJ80" s="538">
        <v>99.575000000000003</v>
      </c>
      <c r="BK80" s="538">
        <v>105.405</v>
      </c>
      <c r="BL80" s="538">
        <v>120.97799999999999</v>
      </c>
      <c r="BM80" s="538">
        <v>93.54</v>
      </c>
      <c r="BN80" s="538">
        <v>132.78800000000001</v>
      </c>
      <c r="BO80" s="538">
        <v>143.429</v>
      </c>
      <c r="BP80" s="538">
        <v>130.92699999999999</v>
      </c>
      <c r="BQ80" s="538">
        <v>113.077</v>
      </c>
      <c r="BR80" s="538">
        <v>150.63</v>
      </c>
      <c r="BS80" s="538"/>
      <c r="BT80" s="538"/>
      <c r="BW80" s="1118" t="s">
        <v>466</v>
      </c>
      <c r="CB80" s="119"/>
    </row>
    <row r="81" spans="1:80">
      <c r="AI81" s="11"/>
      <c r="CB81" s="119"/>
    </row>
    <row r="82" spans="1:80">
      <c r="AI82" s="11"/>
      <c r="CB82" s="119"/>
    </row>
    <row r="83" spans="1:80">
      <c r="H83" s="68"/>
      <c r="I83" s="68"/>
      <c r="J83" s="68"/>
      <c r="K83" s="68"/>
      <c r="L83" s="68"/>
      <c r="M83" s="68"/>
      <c r="N83" s="68"/>
      <c r="O83" s="68"/>
      <c r="P83" s="68"/>
      <c r="Q83" s="68"/>
      <c r="R83" s="68"/>
      <c r="S83" s="68"/>
      <c r="T83" s="68"/>
      <c r="U83" s="68"/>
      <c r="V83" s="68"/>
      <c r="W83" s="68"/>
      <c r="X83" s="68"/>
      <c r="Y83" s="68"/>
      <c r="AI83" s="11"/>
      <c r="CB83" s="119"/>
    </row>
    <row r="84" spans="1:80">
      <c r="H84" s="68"/>
      <c r="I84" s="68"/>
      <c r="J84" s="68"/>
      <c r="K84" s="68"/>
      <c r="L84" s="68"/>
      <c r="M84" s="68"/>
      <c r="N84" s="68"/>
      <c r="O84" s="68"/>
      <c r="P84" s="68"/>
      <c r="Q84" s="68"/>
      <c r="R84" s="68"/>
      <c r="S84" s="68"/>
      <c r="T84" s="68"/>
      <c r="U84" s="68"/>
      <c r="V84" s="88"/>
      <c r="W84" s="68"/>
      <c r="X84" s="68"/>
      <c r="Y84" s="68"/>
      <c r="AI84" s="11"/>
      <c r="AQ84" s="138"/>
      <c r="AR84" s="138"/>
      <c r="AS84" s="138"/>
      <c r="AT84" s="138"/>
    </row>
    <row r="85" spans="1:80">
      <c r="AI85" s="11"/>
      <c r="AQ85" s="89"/>
      <c r="AR85" s="89"/>
      <c r="AS85" s="89"/>
      <c r="AT85" s="89"/>
    </row>
    <row r="86" spans="1:80">
      <c r="AI86" s="11"/>
    </row>
    <row r="87" spans="1:80">
      <c r="AI87" s="11"/>
    </row>
    <row r="88" spans="1:80">
      <c r="AI88" s="11"/>
    </row>
    <row r="89" spans="1:80">
      <c r="AI89" s="11"/>
    </row>
    <row r="90" spans="1:80">
      <c r="AI90" s="11"/>
    </row>
    <row r="91" spans="1:80">
      <c r="A91" s="95"/>
      <c r="B91" s="95"/>
      <c r="C91" s="95"/>
      <c r="D91" s="95" t="s">
        <v>666</v>
      </c>
      <c r="E91" s="95"/>
      <c r="F91" s="95"/>
      <c r="G91" s="96">
        <v>5.0000000000000001E-4</v>
      </c>
      <c r="AI91" s="11"/>
    </row>
    <row r="92" spans="1:80">
      <c r="A92" s="95"/>
      <c r="B92" s="95"/>
      <c r="C92" s="95"/>
      <c r="D92" s="95" t="s">
        <v>667</v>
      </c>
      <c r="E92" s="95"/>
      <c r="F92" s="95"/>
      <c r="G92" s="96">
        <v>1.5</v>
      </c>
    </row>
  </sheetData>
  <sheetProtection formatCells="0"/>
  <mergeCells count="2">
    <mergeCell ref="D1:F1"/>
    <mergeCell ref="A1:C1"/>
  </mergeCells>
  <printOptions horizontalCentered="1"/>
  <pageMargins left="0.25" right="0.25" top="0.5" bottom="0.25" header="0.25" footer="0.25"/>
  <pageSetup scale="90" orientation="landscape" cellComments="asDisplayed" r:id="rId1"/>
  <headerFooter alignWithMargins="0"/>
  <customProperties>
    <customPr name="isReportSheetChanged" r:id="rId2"/>
  </customProperties>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42978-AC8B-4064-A07A-7C66B8BDC9AF}">
  <sheetPr>
    <tabColor rgb="FFFF0000"/>
  </sheetPr>
  <dimension ref="A1:Z157"/>
  <sheetViews>
    <sheetView zoomScale="90" zoomScaleNormal="90" workbookViewId="0">
      <pane ySplit="4" topLeftCell="A5" activePane="bottomLeft" state="frozen"/>
      <selection sqref="A1:C1"/>
      <selection pane="bottomLeft"/>
    </sheetView>
  </sheetViews>
  <sheetFormatPr defaultColWidth="9.109375" defaultRowHeight="14.4"/>
  <cols>
    <col min="1" max="6" width="9.109375" style="59"/>
    <col min="7" max="7" width="4.44140625" style="6" customWidth="1"/>
    <col min="8" max="8" width="4.44140625" customWidth="1"/>
    <col min="9" max="9" width="30.88671875" bestFit="1" customWidth="1"/>
    <col min="10" max="13" width="2.44140625" customWidth="1"/>
    <col min="14" max="21" width="13" style="1" customWidth="1"/>
    <col min="24" max="24" width="34" customWidth="1"/>
    <col min="25" max="25" width="16.109375" bestFit="1" customWidth="1"/>
  </cols>
  <sheetData>
    <row r="1" spans="1:21">
      <c r="A1" s="103" t="str">
        <f>+Manual!A1</f>
        <v>Q2
2025</v>
      </c>
      <c r="B1" s="103" t="str">
        <f>+Manual!D1</f>
        <v>Q2
2026</v>
      </c>
      <c r="C1" s="104"/>
      <c r="D1" s="104"/>
      <c r="E1" s="104"/>
      <c r="F1" s="104"/>
    </row>
    <row r="4" spans="1:21" ht="28.8">
      <c r="N4" s="111" t="str">
        <f>+IS!N4</f>
        <v>Q1
2025</v>
      </c>
      <c r="O4" s="110" t="str">
        <f>+IS!O4</f>
        <v>Q2
2025</v>
      </c>
      <c r="P4" s="110" t="str">
        <f>+IS!P4</f>
        <v>Q3
2025</v>
      </c>
      <c r="Q4" s="110" t="str">
        <f>+IS!Q4</f>
        <v>Q4
2025</v>
      </c>
      <c r="R4" s="111" t="str">
        <f>+IS!R4</f>
        <v>Q1
2026</v>
      </c>
      <c r="S4" s="110" t="str">
        <f>+IS!S4</f>
        <v>Q2
2026</v>
      </c>
      <c r="T4" s="110" t="str">
        <f>+IS!T4</f>
        <v>Q3
2026</v>
      </c>
      <c r="U4" s="110" t="str">
        <f>+IS!U4</f>
        <v>Q4
2026</v>
      </c>
    </row>
    <row r="5" spans="1:21">
      <c r="N5" s="8"/>
      <c r="R5" s="8"/>
    </row>
    <row r="6" spans="1:21" s="6" customFormat="1">
      <c r="A6" s="5"/>
      <c r="B6" s="5"/>
      <c r="C6" s="5"/>
      <c r="D6" s="5"/>
      <c r="E6" s="5"/>
      <c r="F6" s="5"/>
      <c r="N6" s="62" t="s">
        <v>886</v>
      </c>
      <c r="O6" s="61" t="s">
        <v>887</v>
      </c>
      <c r="P6" s="61" t="s">
        <v>888</v>
      </c>
      <c r="Q6" s="61" t="s">
        <v>889</v>
      </c>
      <c r="R6" s="62" t="s">
        <v>903</v>
      </c>
      <c r="S6" s="61" t="s">
        <v>904</v>
      </c>
      <c r="T6" s="61" t="s">
        <v>905</v>
      </c>
      <c r="U6" s="61" t="s">
        <v>906</v>
      </c>
    </row>
    <row r="7" spans="1:21">
      <c r="N7" s="8"/>
      <c r="R7" s="8"/>
    </row>
    <row r="8" spans="1:21">
      <c r="A8" s="63" t="s">
        <v>52</v>
      </c>
      <c r="B8" s="63" t="s">
        <v>50</v>
      </c>
      <c r="C8" s="63" t="s">
        <v>61</v>
      </c>
      <c r="D8" s="63" t="s">
        <v>116</v>
      </c>
      <c r="E8" s="63"/>
      <c r="F8" s="63"/>
      <c r="G8" s="108">
        <v>-1</v>
      </c>
      <c r="H8" s="2"/>
      <c r="I8" s="59" t="str">
        <f>+RIGHT(D8,LEN(D8)-5)</f>
        <v>Total Revenues</v>
      </c>
      <c r="J8" s="59"/>
      <c r="K8" s="59"/>
      <c r="L8" s="59"/>
      <c r="M8" s="59"/>
      <c r="N8" s="7">
        <v>-804842.92564754211</v>
      </c>
      <c r="O8" s="2">
        <v>-793334.03889380489</v>
      </c>
      <c r="P8" s="2">
        <v>-839851.89401720313</v>
      </c>
      <c r="Q8" s="2">
        <v>-853683.24450927833</v>
      </c>
      <c r="R8" s="7">
        <v>-872693.12245528831</v>
      </c>
      <c r="S8" s="2">
        <v>-865066.18036519922</v>
      </c>
      <c r="T8" s="2">
        <v>-78359.981923121915</v>
      </c>
      <c r="U8" s="2">
        <v>0</v>
      </c>
    </row>
    <row r="9" spans="1:21">
      <c r="A9" s="63" t="s">
        <v>52</v>
      </c>
      <c r="B9" s="63" t="s">
        <v>50</v>
      </c>
      <c r="C9" s="63" t="s">
        <v>61</v>
      </c>
      <c r="D9" s="63" t="s">
        <v>145</v>
      </c>
      <c r="E9" s="63"/>
      <c r="F9" s="63"/>
      <c r="G9" s="108">
        <v>1</v>
      </c>
      <c r="H9" s="2"/>
      <c r="I9" s="59" t="str">
        <f>+RIGHT(D9,LEN(D9)-5)</f>
        <v>Income tax on Continuing Ops</v>
      </c>
      <c r="J9" s="59"/>
      <c r="K9" s="59"/>
      <c r="L9" s="59"/>
      <c r="M9" s="59"/>
      <c r="N9" s="7">
        <v>52263.896209236285</v>
      </c>
      <c r="O9" s="2">
        <v>56152.9393648634</v>
      </c>
      <c r="P9" s="2">
        <v>64885.933220324499</v>
      </c>
      <c r="Q9" s="2">
        <v>50027.307931742078</v>
      </c>
      <c r="R9" s="7">
        <v>59322.279832669898</v>
      </c>
      <c r="S9" s="2">
        <v>55940.691892775649</v>
      </c>
      <c r="T9" s="2">
        <v>3601.6701755180998</v>
      </c>
      <c r="U9" s="2">
        <v>0</v>
      </c>
    </row>
    <row r="10" spans="1:21">
      <c r="A10" s="63" t="s">
        <v>52</v>
      </c>
      <c r="B10" s="63" t="s">
        <v>50</v>
      </c>
      <c r="C10" s="63" t="s">
        <v>61</v>
      </c>
      <c r="D10" s="63" t="s">
        <v>147</v>
      </c>
      <c r="E10" s="63"/>
      <c r="F10" s="63"/>
      <c r="G10" s="108">
        <v>-1</v>
      </c>
      <c r="H10" s="2"/>
      <c r="I10" s="59" t="str">
        <f>+RIGHT(D10,LEN(D10)-5)</f>
        <v>Pre tax from Continuing Ops</v>
      </c>
      <c r="J10" s="59"/>
      <c r="K10" s="59"/>
      <c r="L10" s="59"/>
      <c r="M10" s="59"/>
      <c r="N10" s="7">
        <v>-221314.84661477013</v>
      </c>
      <c r="O10" s="2">
        <v>-234496.49775596533</v>
      </c>
      <c r="P10" s="2">
        <v>-271678.6745994878</v>
      </c>
      <c r="Q10" s="2">
        <v>-247073.92775672674</v>
      </c>
      <c r="R10" s="7">
        <v>-249418.30000565806</v>
      </c>
      <c r="S10" s="2">
        <v>-258218.98864944035</v>
      </c>
      <c r="T10" s="2">
        <v>-1148941.8296563525</v>
      </c>
      <c r="U10" s="2">
        <v>0</v>
      </c>
    </row>
    <row r="11" spans="1:21">
      <c r="A11" s="63" t="s">
        <v>52</v>
      </c>
      <c r="B11" s="63" t="s">
        <v>50</v>
      </c>
      <c r="C11" s="63" t="s">
        <v>61</v>
      </c>
      <c r="D11" s="63" t="s">
        <v>692</v>
      </c>
      <c r="E11" s="63"/>
      <c r="F11" s="63"/>
      <c r="G11" s="108">
        <v>-1</v>
      </c>
      <c r="H11" s="2"/>
      <c r="I11" s="59" t="str">
        <f>+RIGHT(D11,LEN(D11)-5)</f>
        <v>Net Income</v>
      </c>
      <c r="J11" s="59"/>
      <c r="K11" s="59"/>
      <c r="L11" s="59"/>
      <c r="M11" s="59"/>
      <c r="N11" s="7">
        <v>-169050.95040553383</v>
      </c>
      <c r="O11" s="2">
        <v>-178343.55839110192</v>
      </c>
      <c r="P11" s="2">
        <v>-206792.74137916329</v>
      </c>
      <c r="Q11" s="2">
        <v>-197046.61982498463</v>
      </c>
      <c r="R11" s="7">
        <v>-190096.02017298818</v>
      </c>
      <c r="S11" s="2">
        <v>-202278.2967566647</v>
      </c>
      <c r="T11" s="2">
        <v>-1145340.1594808344</v>
      </c>
      <c r="U11" s="2">
        <v>0</v>
      </c>
    </row>
    <row r="12" spans="1:21">
      <c r="N12" s="8"/>
      <c r="R12" s="8"/>
    </row>
    <row r="13" spans="1:21">
      <c r="A13" s="63" t="s">
        <v>218</v>
      </c>
      <c r="B13" s="63" t="s">
        <v>50</v>
      </c>
      <c r="C13" s="63" t="s">
        <v>61</v>
      </c>
      <c r="D13" s="63" t="s">
        <v>147</v>
      </c>
      <c r="E13" s="63" t="s">
        <v>133</v>
      </c>
      <c r="F13" s="63"/>
      <c r="G13" s="108">
        <v>-1</v>
      </c>
      <c r="H13" s="2"/>
      <c r="I13" s="59" t="str">
        <f>+_xlfn.CONCAT("Term ",RIGHT(D13,LEN(D13)-5))</f>
        <v>Term Pre tax from Continuing Ops</v>
      </c>
      <c r="J13" s="59"/>
      <c r="K13" s="59"/>
      <c r="L13" s="59"/>
      <c r="M13" s="59"/>
      <c r="N13" s="7">
        <v>-146785.26878898067</v>
      </c>
      <c r="O13" s="2">
        <v>-155012.43699340709</v>
      </c>
      <c r="P13" s="2">
        <v>-172684.28050388626</v>
      </c>
      <c r="Q13" s="2">
        <v>-146578.49960695204</v>
      </c>
      <c r="R13" s="7">
        <v>-154859.10336638498</v>
      </c>
      <c r="S13" s="2">
        <v>-148480.41131150778</v>
      </c>
      <c r="T13" s="2">
        <v>-1013665.8512407377</v>
      </c>
      <c r="U13" s="2">
        <v>0</v>
      </c>
    </row>
    <row r="14" spans="1:21">
      <c r="A14" s="63" t="s">
        <v>218</v>
      </c>
      <c r="B14" s="63" t="s">
        <v>50</v>
      </c>
      <c r="C14" s="63" t="s">
        <v>61</v>
      </c>
      <c r="D14" s="63" t="s">
        <v>147</v>
      </c>
      <c r="E14" s="63" t="s">
        <v>149</v>
      </c>
      <c r="F14" s="63"/>
      <c r="G14" s="108">
        <v>-1</v>
      </c>
      <c r="H14" s="2"/>
      <c r="I14" s="59" t="str">
        <f>+_xlfn.CONCAT("ISP ",RIGHT(D14,LEN(D14)-5))</f>
        <v>ISP Pre tax from Continuing Ops</v>
      </c>
      <c r="J14" s="59"/>
      <c r="K14" s="59"/>
      <c r="L14" s="59"/>
      <c r="M14" s="59"/>
      <c r="N14" s="7">
        <v>-81270.484350254832</v>
      </c>
      <c r="O14" s="2">
        <v>-79420.335698514406</v>
      </c>
      <c r="P14" s="2">
        <v>-94223.48616093141</v>
      </c>
      <c r="Q14" s="2">
        <v>-100608.8179494169</v>
      </c>
      <c r="R14" s="7">
        <v>-100899.50036422804</v>
      </c>
      <c r="S14" s="2">
        <v>-104215.60940615163</v>
      </c>
      <c r="T14" s="2">
        <v>42225.453259116919</v>
      </c>
      <c r="U14" s="2">
        <v>0</v>
      </c>
    </row>
    <row r="15" spans="1:21">
      <c r="N15" s="8"/>
      <c r="R15" s="8"/>
    </row>
    <row r="16" spans="1:21">
      <c r="A16" s="63" t="s">
        <v>52</v>
      </c>
      <c r="B16" s="63" t="s">
        <v>50</v>
      </c>
      <c r="C16" s="63" t="s">
        <v>61</v>
      </c>
      <c r="D16" s="63" t="s">
        <v>692</v>
      </c>
      <c r="E16" s="63"/>
      <c r="F16" s="63"/>
      <c r="G16" s="108">
        <v>-1</v>
      </c>
      <c r="H16" s="2"/>
      <c r="I16" s="59" t="str">
        <f>+RIGHT(D16,LEN(D16)-5)</f>
        <v>Net Income</v>
      </c>
      <c r="J16" s="59"/>
      <c r="K16" s="59"/>
      <c r="L16" s="59"/>
      <c r="M16" s="59"/>
      <c r="N16" s="7">
        <v>-169050.95040553383</v>
      </c>
      <c r="O16" s="2">
        <v>-178343.55839110192</v>
      </c>
      <c r="P16" s="2">
        <v>-206792.74137916329</v>
      </c>
      <c r="Q16" s="2">
        <v>-197046.61982498463</v>
      </c>
      <c r="R16" s="7">
        <v>-190096.02017298818</v>
      </c>
      <c r="S16" s="2">
        <v>-202278.2967566647</v>
      </c>
      <c r="T16" s="2">
        <v>-1145340.1594808344</v>
      </c>
      <c r="U16" s="2">
        <v>0</v>
      </c>
    </row>
    <row r="17" spans="1:21">
      <c r="A17" s="63" t="s">
        <v>52</v>
      </c>
      <c r="B17" s="63" t="s">
        <v>50</v>
      </c>
      <c r="C17" s="63" t="s">
        <v>61</v>
      </c>
      <c r="D17" s="63" t="s">
        <v>870</v>
      </c>
      <c r="E17" s="63"/>
      <c r="F17" s="63"/>
      <c r="G17" s="108">
        <v>-1</v>
      </c>
      <c r="H17" s="2"/>
      <c r="I17" s="59" t="str">
        <f>+RIGHT(D17,LEN(D17)-5)</f>
        <v>Net Income from Continuing Ops</v>
      </c>
      <c r="J17" s="59"/>
      <c r="K17" s="59"/>
      <c r="L17" s="59"/>
      <c r="M17" s="59"/>
      <c r="N17" s="7">
        <v>-169050.95040553383</v>
      </c>
      <c r="O17" s="2">
        <v>-178343.55839110192</v>
      </c>
      <c r="P17" s="2">
        <v>-206792.74137916329</v>
      </c>
      <c r="Q17" s="2">
        <v>-197046.61982498463</v>
      </c>
      <c r="R17" s="7">
        <v>-190096.02017298818</v>
      </c>
      <c r="S17" s="2">
        <v>-202278.2967566647</v>
      </c>
      <c r="T17" s="2">
        <v>-1145340.1594808344</v>
      </c>
      <c r="U17" s="2">
        <v>0</v>
      </c>
    </row>
    <row r="18" spans="1:21">
      <c r="A18" s="63" t="s">
        <v>52</v>
      </c>
      <c r="B18" s="63" t="s">
        <v>50</v>
      </c>
      <c r="C18" s="63" t="s">
        <v>61</v>
      </c>
      <c r="D18" s="63" t="s">
        <v>93</v>
      </c>
      <c r="E18" s="63"/>
      <c r="F18" s="63"/>
      <c r="G18" s="108">
        <v>-1</v>
      </c>
      <c r="H18" s="2"/>
      <c r="I18" s="59" t="str">
        <f>+RIGHT(D18,LEN(D18)-5)</f>
        <v>Net Income to PRI</v>
      </c>
      <c r="J18" s="59"/>
      <c r="K18" s="59"/>
      <c r="L18" s="59"/>
      <c r="M18" s="59"/>
      <c r="N18" s="7">
        <v>-169050.95040553383</v>
      </c>
      <c r="O18" s="2">
        <v>-178343.55839110192</v>
      </c>
      <c r="P18" s="2">
        <v>-206792.74137916329</v>
      </c>
      <c r="Q18" s="2">
        <v>-197046.61982498463</v>
      </c>
      <c r="R18" s="7">
        <v>-190096.02017298818</v>
      </c>
      <c r="S18" s="2">
        <v>-202278.2967566647</v>
      </c>
      <c r="T18" s="2">
        <v>-1145340.1594808344</v>
      </c>
      <c r="U18" s="2">
        <v>0</v>
      </c>
    </row>
    <row r="19" spans="1:21">
      <c r="N19" s="8"/>
      <c r="R19" s="8"/>
    </row>
    <row r="20" spans="1:21">
      <c r="A20" s="63" t="s">
        <v>680</v>
      </c>
      <c r="B20" s="63" t="s">
        <v>50</v>
      </c>
      <c r="C20" s="63" t="s">
        <v>61</v>
      </c>
      <c r="D20" s="63" t="s">
        <v>116</v>
      </c>
      <c r="E20" s="63"/>
      <c r="F20" s="63"/>
      <c r="G20" s="108">
        <v>-1</v>
      </c>
      <c r="H20" s="2"/>
      <c r="I20" s="59" t="str">
        <f>+RIGHT(D20,LEN(D20)-5)</f>
        <v>Total Revenues</v>
      </c>
      <c r="J20" s="59"/>
      <c r="K20" s="59"/>
      <c r="L20" s="59"/>
      <c r="M20" s="59"/>
      <c r="N20" s="7">
        <v>-803555.77745754214</v>
      </c>
      <c r="O20" s="2">
        <v>-796018.13558380492</v>
      </c>
      <c r="P20" s="2">
        <v>-838878.73036720313</v>
      </c>
      <c r="Q20" s="2">
        <v>-853508.30221927841</v>
      </c>
      <c r="R20" s="7">
        <v>-872297.36418528832</v>
      </c>
      <c r="S20" s="2">
        <v>-863375.41348519921</v>
      </c>
      <c r="T20" s="2">
        <v>-78359.981923121915</v>
      </c>
      <c r="U20" s="2">
        <v>0</v>
      </c>
    </row>
    <row r="21" spans="1:21">
      <c r="A21" s="63" t="s">
        <v>680</v>
      </c>
      <c r="B21" s="63" t="s">
        <v>50</v>
      </c>
      <c r="C21" s="63" t="s">
        <v>61</v>
      </c>
      <c r="D21" s="63" t="s">
        <v>145</v>
      </c>
      <c r="E21" s="63"/>
      <c r="F21" s="63"/>
      <c r="G21" s="108">
        <v>1</v>
      </c>
      <c r="H21" s="2"/>
      <c r="I21" s="59" t="str">
        <f>+RIGHT(D21,LEN(D21)-5)</f>
        <v>Income tax on Continuing Ops</v>
      </c>
      <c r="J21" s="59"/>
      <c r="K21" s="59"/>
      <c r="L21" s="59"/>
      <c r="M21" s="59"/>
      <c r="N21" s="7">
        <v>51959.934209236286</v>
      </c>
      <c r="O21" s="2">
        <v>56795.677364863404</v>
      </c>
      <c r="P21" s="2">
        <v>64653.5092203245</v>
      </c>
      <c r="Q21" s="2">
        <v>49991.885931742087</v>
      </c>
      <c r="R21" s="7">
        <v>59228.151832669893</v>
      </c>
      <c r="S21" s="2">
        <v>55574.402892775652</v>
      </c>
      <c r="T21" s="2">
        <v>3601.6701755180998</v>
      </c>
      <c r="U21" s="2">
        <v>0</v>
      </c>
    </row>
    <row r="22" spans="1:21">
      <c r="A22" s="63" t="s">
        <v>680</v>
      </c>
      <c r="B22" s="63" t="s">
        <v>50</v>
      </c>
      <c r="C22" s="63" t="s">
        <v>61</v>
      </c>
      <c r="D22" s="63" t="s">
        <v>147</v>
      </c>
      <c r="E22" s="63"/>
      <c r="F22" s="63"/>
      <c r="G22" s="108">
        <v>-1</v>
      </c>
      <c r="H22" s="2"/>
      <c r="I22" s="59" t="str">
        <f>+RIGHT(D22,LEN(D22)-5)</f>
        <v>Pre tax from Continuing Ops</v>
      </c>
      <c r="J22" s="59"/>
      <c r="K22" s="59"/>
      <c r="L22" s="59"/>
      <c r="M22" s="59"/>
      <c r="N22" s="7">
        <v>-220027.69842477009</v>
      </c>
      <c r="O22" s="2">
        <v>-237180.59444596534</v>
      </c>
      <c r="P22" s="2">
        <v>-270705.5109494878</v>
      </c>
      <c r="Q22" s="2">
        <v>-246898.98546672671</v>
      </c>
      <c r="R22" s="7">
        <v>-249022.5417356581</v>
      </c>
      <c r="S22" s="2">
        <v>-256528.22176944037</v>
      </c>
      <c r="T22" s="2">
        <v>-1148941.8296563525</v>
      </c>
      <c r="U22" s="2">
        <v>0</v>
      </c>
    </row>
    <row r="23" spans="1:21">
      <c r="A23" s="63" t="s">
        <v>680</v>
      </c>
      <c r="B23" s="63" t="s">
        <v>50</v>
      </c>
      <c r="C23" s="63" t="s">
        <v>61</v>
      </c>
      <c r="D23" s="63" t="s">
        <v>692</v>
      </c>
      <c r="E23" s="63"/>
      <c r="F23" s="63"/>
      <c r="G23" s="108">
        <v>-1</v>
      </c>
      <c r="H23" s="2"/>
      <c r="I23" s="59" t="str">
        <f>+RIGHT(D23,LEN(D23)-5)</f>
        <v>Net Income</v>
      </c>
      <c r="J23" s="59"/>
      <c r="K23" s="59"/>
      <c r="L23" s="59"/>
      <c r="M23" s="59"/>
      <c r="N23" s="7">
        <v>-168067.76421553383</v>
      </c>
      <c r="O23" s="2">
        <v>-180384.91708110191</v>
      </c>
      <c r="P23" s="2">
        <v>-206052.00172916328</v>
      </c>
      <c r="Q23" s="2">
        <v>-196907.09953498465</v>
      </c>
      <c r="R23" s="7">
        <v>-189794.38990298819</v>
      </c>
      <c r="S23" s="2">
        <v>-200953.81887666471</v>
      </c>
      <c r="T23" s="2">
        <v>-1145340.1594808344</v>
      </c>
      <c r="U23" s="2">
        <v>0</v>
      </c>
    </row>
    <row r="24" spans="1:21">
      <c r="N24" s="8"/>
      <c r="R24" s="8"/>
    </row>
    <row r="25" spans="1:21">
      <c r="A25" s="63" t="s">
        <v>680</v>
      </c>
      <c r="B25" s="63" t="s">
        <v>50</v>
      </c>
      <c r="C25" s="63" t="s">
        <v>61</v>
      </c>
      <c r="D25" s="63" t="s">
        <v>692</v>
      </c>
      <c r="E25" s="63"/>
      <c r="F25" s="63"/>
      <c r="G25" s="108">
        <v>-1</v>
      </c>
      <c r="H25" s="2"/>
      <c r="I25" s="59" t="str">
        <f>+RIGHT(D25,LEN(D25)-5)</f>
        <v>Net Income</v>
      </c>
      <c r="J25" s="59"/>
      <c r="K25" s="59"/>
      <c r="L25" s="59"/>
      <c r="M25" s="59"/>
      <c r="N25" s="7">
        <v>-168067.76421553383</v>
      </c>
      <c r="O25" s="2">
        <v>-180384.91708110191</v>
      </c>
      <c r="P25" s="2">
        <v>-206052.00172916328</v>
      </c>
      <c r="Q25" s="2">
        <v>-196907.09953498465</v>
      </c>
      <c r="R25" s="7">
        <v>-189794.38990298819</v>
      </c>
      <c r="S25" s="2">
        <v>-200953.81887666471</v>
      </c>
      <c r="T25" s="2">
        <v>-1145340.1594808344</v>
      </c>
      <c r="U25" s="2">
        <v>0</v>
      </c>
    </row>
    <row r="26" spans="1:21">
      <c r="A26" s="63" t="s">
        <v>680</v>
      </c>
      <c r="B26" s="63" t="s">
        <v>50</v>
      </c>
      <c r="C26" s="63" t="s">
        <v>61</v>
      </c>
      <c r="D26" s="63" t="s">
        <v>144</v>
      </c>
      <c r="E26" s="63"/>
      <c r="F26" s="63"/>
      <c r="G26" s="108">
        <v>-1</v>
      </c>
      <c r="H26" s="2"/>
      <c r="I26" s="59" t="str">
        <f>+RIGHT(D26,LEN(D26)-5)</f>
        <v>Non Controlling Interest</v>
      </c>
      <c r="J26" s="59"/>
      <c r="K26" s="59"/>
      <c r="L26" s="59"/>
      <c r="M26" s="59"/>
      <c r="N26" s="7">
        <v>0</v>
      </c>
      <c r="O26" s="2">
        <v>0</v>
      </c>
      <c r="P26" s="2">
        <v>0</v>
      </c>
      <c r="Q26" s="2">
        <v>0</v>
      </c>
      <c r="R26" s="7">
        <v>0</v>
      </c>
      <c r="S26" s="2">
        <v>0</v>
      </c>
      <c r="T26" s="2">
        <v>0</v>
      </c>
      <c r="U26" s="2">
        <v>0</v>
      </c>
    </row>
    <row r="27" spans="1:21">
      <c r="A27" s="63" t="s">
        <v>680</v>
      </c>
      <c r="B27" s="63" t="s">
        <v>50</v>
      </c>
      <c r="C27" s="63" t="s">
        <v>61</v>
      </c>
      <c r="D27" s="63" t="s">
        <v>93</v>
      </c>
      <c r="E27" s="63"/>
      <c r="F27" s="63"/>
      <c r="G27" s="108">
        <v>-1</v>
      </c>
      <c r="H27" s="2"/>
      <c r="I27" s="59" t="str">
        <f>+RIGHT(D27,LEN(D27)-5)</f>
        <v>Net Income to PRI</v>
      </c>
      <c r="J27" s="59"/>
      <c r="K27" s="59"/>
      <c r="L27" s="59"/>
      <c r="M27" s="59"/>
      <c r="N27" s="7">
        <v>-168067.76421553383</v>
      </c>
      <c r="O27" s="2">
        <v>-180384.91708110191</v>
      </c>
      <c r="P27" s="2">
        <v>-206052.00172916328</v>
      </c>
      <c r="Q27" s="2">
        <v>-196907.09953498465</v>
      </c>
      <c r="R27" s="7">
        <v>-189794.38990298819</v>
      </c>
      <c r="S27" s="2">
        <v>-200953.81887666471</v>
      </c>
      <c r="T27" s="2">
        <v>-1145340.1594808344</v>
      </c>
      <c r="U27" s="2">
        <v>0</v>
      </c>
    </row>
    <row r="28" spans="1:21">
      <c r="N28" s="8"/>
      <c r="R28" s="8"/>
    </row>
    <row r="29" spans="1:21">
      <c r="A29" s="63" t="s">
        <v>52</v>
      </c>
      <c r="B29" s="63" t="s">
        <v>49</v>
      </c>
      <c r="C29" s="63" t="s">
        <v>61</v>
      </c>
      <c r="D29" s="63" t="s">
        <v>62</v>
      </c>
      <c r="E29" s="63"/>
      <c r="F29" s="63"/>
      <c r="G29" s="108">
        <v>1</v>
      </c>
      <c r="H29" s="2"/>
      <c r="I29" s="59" t="str">
        <f>+RIGHT(D29,LEN(D29)-5)</f>
        <v>Assets</v>
      </c>
      <c r="J29" s="59"/>
      <c r="K29" s="59"/>
      <c r="L29" s="59"/>
      <c r="M29" s="59"/>
      <c r="N29" s="7">
        <v>14589010.047427246</v>
      </c>
      <c r="O29" s="2">
        <v>14829834.235794811</v>
      </c>
      <c r="P29" s="2">
        <v>14847759.118350593</v>
      </c>
      <c r="Q29" s="2">
        <v>15012335.874060525</v>
      </c>
      <c r="R29" s="7">
        <v>14677425.803095173</v>
      </c>
      <c r="S29" s="2">
        <v>14781939.271216251</v>
      </c>
      <c r="T29" s="2">
        <v>8189718.6318805926</v>
      </c>
      <c r="U29" s="2">
        <v>8189718.6318805926</v>
      </c>
    </row>
    <row r="30" spans="1:21">
      <c r="A30" s="63" t="s">
        <v>52</v>
      </c>
      <c r="B30" s="63" t="s">
        <v>49</v>
      </c>
      <c r="C30" s="63" t="s">
        <v>61</v>
      </c>
      <c r="D30" s="63" t="s">
        <v>79</v>
      </c>
      <c r="E30" s="63"/>
      <c r="F30" s="63"/>
      <c r="G30" s="108">
        <v>-1</v>
      </c>
      <c r="H30" s="2"/>
      <c r="I30" s="59" t="str">
        <f>+RIGHT(D30,LEN(D30)-5)</f>
        <v>Total Equity</v>
      </c>
      <c r="J30" s="59"/>
      <c r="K30" s="59"/>
      <c r="L30" s="59"/>
      <c r="M30" s="59"/>
      <c r="N30" s="7">
        <v>-2087358.0037773405</v>
      </c>
      <c r="O30" s="2">
        <v>-1960121.9225750093</v>
      </c>
      <c r="P30" s="2">
        <v>-1741704.3252166035</v>
      </c>
      <c r="Q30" s="2">
        <v>-1694667.3181327693</v>
      </c>
      <c r="R30" s="7">
        <v>-2329778.1339397239</v>
      </c>
      <c r="S30" s="2">
        <v>-2130579.111845938</v>
      </c>
      <c r="T30" s="2">
        <v>-1865274.401524147</v>
      </c>
      <c r="U30" s="2">
        <v>-1865274.401524147</v>
      </c>
    </row>
    <row r="31" spans="1:21">
      <c r="A31" s="63" t="s">
        <v>52</v>
      </c>
      <c r="B31" s="63" t="s">
        <v>49</v>
      </c>
      <c r="C31" s="63" t="s">
        <v>61</v>
      </c>
      <c r="D31" s="63" t="s">
        <v>64</v>
      </c>
      <c r="E31" s="63"/>
      <c r="F31" s="63"/>
      <c r="G31" s="108">
        <v>-1</v>
      </c>
      <c r="H31" s="2"/>
      <c r="I31" s="59" t="str">
        <f>+RIGHT(D31,LEN(D31)-5)</f>
        <v>Total Liabilities</v>
      </c>
      <c r="J31" s="59"/>
      <c r="K31" s="59"/>
      <c r="L31" s="59"/>
      <c r="M31" s="59"/>
      <c r="N31" s="7">
        <v>-12332601.093244372</v>
      </c>
      <c r="O31" s="2">
        <v>-12522317.804423165</v>
      </c>
      <c r="P31" s="2">
        <v>-12551867.542958191</v>
      </c>
      <c r="Q31" s="2">
        <v>-12566434.68592697</v>
      </c>
      <c r="R31" s="7">
        <v>-12157551.648982462</v>
      </c>
      <c r="S31" s="2">
        <v>-12258985.842440661</v>
      </c>
      <c r="T31" s="2">
        <v>-4786729.7539459569</v>
      </c>
      <c r="U31" s="2">
        <v>-4786729.7539459569</v>
      </c>
    </row>
    <row r="32" spans="1:21">
      <c r="A32" s="63" t="s">
        <v>52</v>
      </c>
      <c r="B32" s="63" t="s">
        <v>49</v>
      </c>
      <c r="C32" s="63" t="s">
        <v>61</v>
      </c>
      <c r="D32" s="63" t="s">
        <v>93</v>
      </c>
      <c r="E32" s="63"/>
      <c r="F32" s="63"/>
      <c r="G32" s="108">
        <v>-1</v>
      </c>
      <c r="H32" s="2"/>
      <c r="I32" s="59" t="str">
        <f>+RIGHT(D32,LEN(D32)-5)</f>
        <v>Net Income to PRI</v>
      </c>
      <c r="J32" s="59"/>
      <c r="K32" s="59"/>
      <c r="L32" s="59"/>
      <c r="M32" s="59"/>
      <c r="N32" s="7">
        <v>-169050.95040553383</v>
      </c>
      <c r="O32" s="2">
        <v>-347394.50879663578</v>
      </c>
      <c r="P32" s="2">
        <v>-554187.25017579901</v>
      </c>
      <c r="Q32" s="2">
        <v>-751233.87000078359</v>
      </c>
      <c r="R32" s="7">
        <v>-190096.02017298818</v>
      </c>
      <c r="S32" s="2">
        <v>-392374.31692965288</v>
      </c>
      <c r="T32" s="2">
        <v>-1537714.4764104874</v>
      </c>
      <c r="U32" s="2">
        <v>-1537714.4764104874</v>
      </c>
    </row>
    <row r="33" spans="1:21">
      <c r="N33" s="8"/>
      <c r="R33" s="8"/>
    </row>
    <row r="34" spans="1:21">
      <c r="N34" s="143" t="str">
        <f>+IF(ROUND(SUM(N35:N93),5)&lt;&gt;0,"ERROR","")</f>
        <v/>
      </c>
      <c r="O34" s="4" t="str">
        <f t="shared" ref="O34:U34" si="0">+IF(ROUND(SUM(O35:O93),5)&lt;&gt;0,"ERROR","")</f>
        <v/>
      </c>
      <c r="P34" s="4" t="str">
        <f t="shared" si="0"/>
        <v/>
      </c>
      <c r="Q34" s="4" t="str">
        <f t="shared" si="0"/>
        <v/>
      </c>
      <c r="R34" s="143" t="str">
        <f t="shared" si="0"/>
        <v/>
      </c>
      <c r="S34" s="4" t="str">
        <f t="shared" si="0"/>
        <v/>
      </c>
      <c r="T34" s="4" t="str">
        <f t="shared" si="0"/>
        <v>ERROR</v>
      </c>
      <c r="U34" s="4" t="str">
        <f t="shared" si="0"/>
        <v>ERROR</v>
      </c>
    </row>
    <row r="35" spans="1:21">
      <c r="A35" s="106"/>
      <c r="B35" s="106"/>
      <c r="C35" s="106"/>
      <c r="D35" s="106"/>
      <c r="E35" s="106"/>
      <c r="F35" s="107" t="s">
        <v>455</v>
      </c>
      <c r="G35" s="109"/>
      <c r="H35" s="78"/>
      <c r="I35" s="78"/>
      <c r="J35" s="78"/>
      <c r="K35" s="78"/>
      <c r="L35" s="78"/>
      <c r="M35" s="78"/>
      <c r="N35" s="113"/>
      <c r="O35" s="112"/>
      <c r="P35" s="112"/>
      <c r="Q35" s="112"/>
      <c r="R35" s="113"/>
      <c r="S35" s="112"/>
      <c r="T35" s="112"/>
      <c r="U35" s="112"/>
    </row>
    <row r="36" spans="1:21">
      <c r="I36" t="s">
        <v>693</v>
      </c>
      <c r="N36" s="8">
        <f>+ROUND(N30+BS!O36+BS!O26+N32,2)</f>
        <v>0</v>
      </c>
      <c r="O36" s="1">
        <f>+ROUND(O30+BS!P36+BS!P26+O32,2)</f>
        <v>0</v>
      </c>
      <c r="P36" s="1">
        <f>+ROUND(P30+BS!Q36+BS!Q26+P32,2)</f>
        <v>0</v>
      </c>
      <c r="Q36" s="1">
        <f>+ROUND(Q30+BS!R36+BS!R26+Q32,2)</f>
        <v>0</v>
      </c>
      <c r="R36" s="8">
        <f>+ROUND(R30+BS!S36+BS!S26+R32,2)</f>
        <v>0</v>
      </c>
      <c r="S36" s="1">
        <f>+ROUND(S30+BS!T36+BS!T26+S32,2)</f>
        <v>0</v>
      </c>
      <c r="T36" s="1">
        <f>+ROUND(T30+BS!U36+BS!U26+T32,2)</f>
        <v>-3402988.88</v>
      </c>
      <c r="U36" s="1">
        <f>+ROUND(U30+BS!V36+BS!V26+U32,2)</f>
        <v>-3402988.88</v>
      </c>
    </row>
    <row r="37" spans="1:21">
      <c r="I37" t="s">
        <v>694</v>
      </c>
      <c r="N37" s="8">
        <f>+N31+BS!O24</f>
        <v>0</v>
      </c>
      <c r="O37" s="1">
        <f>+O31+BS!P24</f>
        <v>0</v>
      </c>
      <c r="P37" s="1">
        <f>+P31+BS!Q24</f>
        <v>0</v>
      </c>
      <c r="Q37" s="1">
        <f>+Q31+BS!R24</f>
        <v>0</v>
      </c>
      <c r="R37" s="8">
        <f>+R31+BS!S24</f>
        <v>0</v>
      </c>
      <c r="S37" s="1">
        <f>+S31+BS!T24</f>
        <v>0</v>
      </c>
      <c r="T37" s="1">
        <f>+T31+BS!U24</f>
        <v>-4786729.7539459569</v>
      </c>
      <c r="U37" s="1">
        <f>+U31+BS!V24</f>
        <v>-4786729.7539459569</v>
      </c>
    </row>
    <row r="38" spans="1:21">
      <c r="I38" t="s">
        <v>581</v>
      </c>
      <c r="N38" s="8">
        <f>+N29-BS!O14</f>
        <v>0</v>
      </c>
      <c r="O38" s="1">
        <f>+O29-BS!P14</f>
        <v>0</v>
      </c>
      <c r="P38" s="1">
        <f>+P29-BS!Q14</f>
        <v>0</v>
      </c>
      <c r="Q38" s="1">
        <f>+Q29-BS!R14</f>
        <v>0</v>
      </c>
      <c r="R38" s="8">
        <f>+R29-BS!S14</f>
        <v>0</v>
      </c>
      <c r="S38" s="1">
        <f>+S29-BS!T14</f>
        <v>0</v>
      </c>
      <c r="T38" s="1">
        <f>+T29-BS!U14</f>
        <v>8189718.6318805926</v>
      </c>
      <c r="U38" s="1">
        <f>+U29-BS!V14</f>
        <v>8189718.6318805926</v>
      </c>
    </row>
    <row r="39" spans="1:21">
      <c r="I39" t="s">
        <v>695</v>
      </c>
      <c r="N39" s="8">
        <f>+ROUND(BS!O14-BS!O24-BS!O36-BS!O26,2)</f>
        <v>0</v>
      </c>
      <c r="O39" s="1">
        <f>+ROUND(BS!P14-BS!P24-BS!P36-BS!P26,2)</f>
        <v>0</v>
      </c>
      <c r="P39" s="1">
        <f>+ROUND(BS!Q14-BS!Q24-BS!Q36-BS!Q26,2)</f>
        <v>0</v>
      </c>
      <c r="Q39" s="1">
        <f>+ROUND(BS!R14-BS!R24-BS!R36-BS!R26,2)</f>
        <v>0</v>
      </c>
      <c r="R39" s="8">
        <f>+ROUND(BS!S14-BS!S24-BS!S36-BS!S26,2)</f>
        <v>0</v>
      </c>
      <c r="S39" s="1">
        <f>+ROUND(BS!T14-BS!T24-BS!T36-BS!T26,2)</f>
        <v>0</v>
      </c>
      <c r="T39" s="1">
        <f>+ROUND(BS!U14-BS!U24-BS!U36-BS!U26,2)</f>
        <v>0</v>
      </c>
      <c r="U39" s="1">
        <f>+ROUND(BS!V14-BS!V24-BS!V36-BS!V26,2)</f>
        <v>0</v>
      </c>
    </row>
    <row r="40" spans="1:21">
      <c r="I40" t="s">
        <v>696</v>
      </c>
      <c r="N40" s="8">
        <f>+ROUND(SUM(BS!O55:O59)-BS!O60,2)</f>
        <v>0</v>
      </c>
      <c r="O40" s="1">
        <f>+ROUND(SUM(BS!P55:P59)-BS!P60,2)</f>
        <v>0</v>
      </c>
      <c r="P40" s="1">
        <f>+ROUND(SUM(BS!Q55:Q59)-BS!Q60,2)</f>
        <v>0</v>
      </c>
      <c r="Q40" s="1">
        <f>+ROUND(SUM(BS!R55:R59)-BS!R60,2)</f>
        <v>0</v>
      </c>
      <c r="R40" s="8">
        <f>+ROUND(SUM(BS!S55:S59)-BS!S60,2)</f>
        <v>0</v>
      </c>
      <c r="S40" s="1">
        <f>+ROUND(SUM(BS!T55:T59)-BS!T60,2)</f>
        <v>0</v>
      </c>
      <c r="T40" s="1">
        <f>+ROUND(SUM(BS!U55:U59)-BS!U60,2)</f>
        <v>0</v>
      </c>
      <c r="U40" s="1">
        <f>+ROUND(SUM(BS!V55:V59)-BS!V60,2)</f>
        <v>0</v>
      </c>
    </row>
    <row r="41" spans="1:21">
      <c r="I41" t="s">
        <v>697</v>
      </c>
      <c r="N41" s="8">
        <f>+BS!O58+IS!N22</f>
        <v>0</v>
      </c>
      <c r="O41" s="1">
        <f>+BS!P58+IS!O22</f>
        <v>0</v>
      </c>
      <c r="P41" s="1">
        <f>+BS!Q58+IS!P22</f>
        <v>0</v>
      </c>
      <c r="Q41" s="1">
        <f>+BS!R58+IS!Q22</f>
        <v>0</v>
      </c>
      <c r="R41" s="8">
        <f>+BS!S58+IS!R22</f>
        <v>0</v>
      </c>
      <c r="S41" s="1">
        <f>+BS!T58+IS!S22</f>
        <v>0</v>
      </c>
      <c r="T41" s="1">
        <f>+BS!U58+IS!T22</f>
        <v>0</v>
      </c>
      <c r="U41" s="1">
        <f>+BS!V58+IS!U22</f>
        <v>0</v>
      </c>
    </row>
    <row r="42" spans="1:21">
      <c r="I42" t="s">
        <v>533</v>
      </c>
      <c r="N42" s="8">
        <f>N18+BS!O47</f>
        <v>-2.3283064365386963E-10</v>
      </c>
      <c r="O42" s="1">
        <f>O18+BS!P47</f>
        <v>0</v>
      </c>
      <c r="P42" s="1">
        <f>P18+BS!Q47</f>
        <v>0</v>
      </c>
      <c r="Q42" s="1">
        <f>Q18+BS!R47</f>
        <v>0</v>
      </c>
      <c r="R42" s="8">
        <f>R18+BS!S47</f>
        <v>0</v>
      </c>
      <c r="S42" s="1">
        <f>S18+BS!T47</f>
        <v>0</v>
      </c>
      <c r="T42" s="1">
        <f>T18+BS!U47</f>
        <v>-1145340.1594808344</v>
      </c>
      <c r="U42" s="1">
        <f>U18+BS!V47</f>
        <v>0</v>
      </c>
    </row>
    <row r="43" spans="1:21">
      <c r="I43" t="s">
        <v>698</v>
      </c>
      <c r="N43" s="8">
        <f>+BS!O52-SUM(BS!O46:O51)</f>
        <v>0</v>
      </c>
      <c r="O43" s="1">
        <f>+BS!P52-SUM(BS!P46:P51)</f>
        <v>0</v>
      </c>
      <c r="P43" s="1">
        <f>+BS!Q52-SUM(BS!Q46:Q51)</f>
        <v>0</v>
      </c>
      <c r="Q43" s="1">
        <f>+BS!R52-SUM(BS!R46:R51)</f>
        <v>0</v>
      </c>
      <c r="R43" s="8">
        <f>+BS!S52-SUM(BS!S46:S51)</f>
        <v>0</v>
      </c>
      <c r="S43" s="1">
        <f>+BS!T52-SUM(BS!T46:T51)</f>
        <v>0</v>
      </c>
      <c r="T43" s="1">
        <f>+BS!U52-SUM(BS!U46:U51)</f>
        <v>0</v>
      </c>
      <c r="U43" s="1">
        <f>+BS!V52-SUM(BS!V46:V51)</f>
        <v>0</v>
      </c>
    </row>
    <row r="44" spans="1:21">
      <c r="F44" s="93"/>
      <c r="G44" s="140"/>
      <c r="H44" s="60"/>
      <c r="I44" s="60"/>
      <c r="J44" s="60"/>
      <c r="K44" s="60"/>
      <c r="L44" s="60"/>
      <c r="M44" s="60"/>
      <c r="N44" s="142"/>
      <c r="O44" s="141"/>
      <c r="P44" s="141"/>
      <c r="Q44" s="141"/>
      <c r="R44" s="142"/>
      <c r="S44" s="141"/>
      <c r="T44" s="141"/>
      <c r="U44" s="141"/>
    </row>
    <row r="45" spans="1:21">
      <c r="F45" s="107" t="s">
        <v>460</v>
      </c>
      <c r="N45" s="8"/>
      <c r="R45" s="8"/>
    </row>
    <row r="46" spans="1:21">
      <c r="I46" t="s">
        <v>917</v>
      </c>
      <c r="N46" s="8">
        <f>+Corp!N9-IS!N34</f>
        <v>0</v>
      </c>
      <c r="O46" s="1">
        <f>+Corp!O9-IS!O34</f>
        <v>0</v>
      </c>
      <c r="P46" s="1">
        <f>+Corp!P9-IS!P34</f>
        <v>0</v>
      </c>
      <c r="Q46" s="1">
        <f>+Corp!Q9-IS!Q34</f>
        <v>0</v>
      </c>
      <c r="R46" s="8">
        <f>+Corp!R9-IS!R34</f>
        <v>0</v>
      </c>
      <c r="S46" s="1">
        <f>+Corp!S9-IS!S34</f>
        <v>0</v>
      </c>
      <c r="T46" s="1">
        <f>+Corp!T9-IS!T34</f>
        <v>0</v>
      </c>
      <c r="U46" s="1">
        <f>+Corp!U9-IS!U34</f>
        <v>0</v>
      </c>
    </row>
    <row r="47" spans="1:21">
      <c r="I47" t="s">
        <v>718</v>
      </c>
      <c r="N47" s="8">
        <f>+Corp!N14-Recon!N43</f>
        <v>0</v>
      </c>
      <c r="O47" s="1">
        <f>+Corp!O14-Recon!O43</f>
        <v>0</v>
      </c>
      <c r="P47" s="1">
        <f>+Corp!P14-Recon!P43</f>
        <v>0</v>
      </c>
      <c r="Q47" s="1">
        <f>+Corp!Q14-Recon!Q43</f>
        <v>0</v>
      </c>
      <c r="R47" s="8">
        <f>+Corp!R14-Recon!R43</f>
        <v>0</v>
      </c>
      <c r="S47" s="1">
        <f>+Corp!S14-Recon!S43</f>
        <v>0</v>
      </c>
      <c r="T47" s="1">
        <f>+Corp!T14-Recon!T43</f>
        <v>0</v>
      </c>
      <c r="U47" s="1">
        <f>+Corp!U14-Recon!U43</f>
        <v>0</v>
      </c>
    </row>
    <row r="48" spans="1:21">
      <c r="F48" s="93"/>
      <c r="G48" s="140"/>
      <c r="H48" s="60"/>
      <c r="I48" s="60"/>
      <c r="J48" s="60"/>
      <c r="K48" s="60"/>
      <c r="L48" s="60"/>
      <c r="M48" s="60"/>
      <c r="N48" s="142"/>
      <c r="O48" s="141"/>
      <c r="P48" s="141"/>
      <c r="Q48" s="141"/>
      <c r="R48" s="142"/>
      <c r="S48" s="141"/>
      <c r="T48" s="141"/>
      <c r="U48" s="141"/>
    </row>
    <row r="49" spans="6:21">
      <c r="F49" s="107" t="s">
        <v>719</v>
      </c>
      <c r="N49" s="8"/>
      <c r="R49" s="8"/>
    </row>
    <row r="50" spans="6:21">
      <c r="I50" t="s">
        <v>720</v>
      </c>
      <c r="N50" s="8">
        <f>+ROUND(IS!N18-'Term 1'!N13-'ISP 1'!N12+CNO!N52,2)</f>
        <v>0</v>
      </c>
      <c r="O50" s="1">
        <f>+ROUND(IS!O18-'Term 1'!O13-'ISP 1'!O12+CNO!O52,2)</f>
        <v>0</v>
      </c>
      <c r="P50" s="1">
        <f>+ROUND(IS!P18-'Term 1'!P13-'ISP 1'!P12+CNO!P52,2)</f>
        <v>0</v>
      </c>
      <c r="Q50" s="1">
        <f>+ROUND(IS!Q18-'Term 1'!Q13-'ISP 1'!Q12+CNO!Q52,2)</f>
        <v>0</v>
      </c>
      <c r="R50" s="8">
        <f>+ROUND(IS!R18-'Term 1'!R13-'ISP 1'!R12+CNO!R52,2)</f>
        <v>0</v>
      </c>
      <c r="S50" s="1">
        <f>+ROUND(IS!S18-'Term 1'!S13-'ISP 1'!S12+CNO!S52,2)</f>
        <v>0</v>
      </c>
      <c r="T50" s="1">
        <f>+ROUND(IS!T18-'Term 1'!T13-'ISP 1'!T12+CNO!T52,2)</f>
        <v>-3664.71</v>
      </c>
      <c r="U50" s="1">
        <f>+ROUND(IS!U18-'Term 1'!U13-'ISP 1'!U12+CNO!U52,2)</f>
        <v>0</v>
      </c>
    </row>
    <row r="51" spans="6:21">
      <c r="I51" t="s">
        <v>733</v>
      </c>
      <c r="N51" s="8">
        <f>+ROUND(IS!N32-IS!N40,2)</f>
        <v>0</v>
      </c>
      <c r="O51" s="1">
        <f>+ROUND(IS!O32-IS!O40,2)</f>
        <v>0</v>
      </c>
      <c r="P51" s="1">
        <f>+ROUND(IS!P32-IS!P40,2)</f>
        <v>0</v>
      </c>
      <c r="Q51" s="1">
        <f>+ROUND(IS!Q32-IS!Q40,2)</f>
        <v>0</v>
      </c>
      <c r="R51" s="8">
        <f>+ROUND(IS!R32-IS!R40,2)</f>
        <v>0</v>
      </c>
      <c r="S51" s="1">
        <f>+ROUND(IS!S32-IS!S40,2)</f>
        <v>0</v>
      </c>
      <c r="T51" s="1">
        <f>+ROUND(IS!T32-IS!T40,2)</f>
        <v>0</v>
      </c>
      <c r="U51" s="1">
        <f>+ROUND(IS!U32-IS!U40,2)</f>
        <v>0</v>
      </c>
    </row>
    <row r="52" spans="6:21">
      <c r="I52" t="s">
        <v>734</v>
      </c>
      <c r="N52" s="8">
        <f>+ROUND(IS!N37-'Term 1'!N22,2)</f>
        <v>0</v>
      </c>
      <c r="O52" s="1">
        <f>+ROUND(IS!O37-'Term 1'!O22,2)</f>
        <v>0</v>
      </c>
      <c r="P52" s="1">
        <f>+ROUND(IS!P37-'Term 1'!P22,2)</f>
        <v>0</v>
      </c>
      <c r="Q52" s="1">
        <f>+ROUND(IS!Q37-'Term 1'!Q22,2)</f>
        <v>0</v>
      </c>
      <c r="R52" s="8">
        <f>+ROUND(IS!R37-'Term 1'!R22,2)</f>
        <v>0</v>
      </c>
      <c r="S52" s="1">
        <f>+ROUND(IS!S37-'Term 1'!S22,2)</f>
        <v>0</v>
      </c>
      <c r="T52" s="1">
        <f>+ROUND(IS!T37-'Term 1'!T22,2)</f>
        <v>0</v>
      </c>
      <c r="U52" s="1">
        <f>+ROUND(IS!U37-'Term 1'!U22,2)</f>
        <v>0</v>
      </c>
    </row>
    <row r="53" spans="6:21">
      <c r="I53" t="s">
        <v>735</v>
      </c>
      <c r="N53" s="8">
        <f>+ROUND(IS!N38-'ISP 1'!N22,2)</f>
        <v>0</v>
      </c>
      <c r="O53" s="1">
        <f>+ROUND(IS!O38-'ISP 1'!O22,2)</f>
        <v>0</v>
      </c>
      <c r="P53" s="1">
        <f>+ROUND(IS!P38-'ISP 1'!P22,2)</f>
        <v>0</v>
      </c>
      <c r="Q53" s="1">
        <f>+ROUND(IS!Q38-'ISP 1'!Q22,2)</f>
        <v>0</v>
      </c>
      <c r="R53" s="8">
        <f>+ROUND(IS!R38-'ISP 1'!R22,2)</f>
        <v>0</v>
      </c>
      <c r="S53" s="1">
        <f>+ROUND(IS!S38-'ISP 1'!S22,2)</f>
        <v>0</v>
      </c>
      <c r="T53" s="1">
        <f>+ROUND(IS!T38-'ISP 1'!T22,2)</f>
        <v>0</v>
      </c>
      <c r="U53" s="1">
        <f>+ROUND(IS!U38-'ISP 1'!U22,2)</f>
        <v>0</v>
      </c>
    </row>
    <row r="54" spans="6:21">
      <c r="I54" t="s">
        <v>736</v>
      </c>
      <c r="N54" s="8">
        <f>+ROUND(IS!N39-CNO!N40,2)</f>
        <v>0</v>
      </c>
      <c r="O54" s="1">
        <f>+ROUND(IS!O39-CNO!O40,2)</f>
        <v>0</v>
      </c>
      <c r="P54" s="1">
        <f>+ROUND(IS!P39-CNO!P40,2)</f>
        <v>0</v>
      </c>
      <c r="Q54" s="1">
        <f>+ROUND(IS!Q39-CNO!Q40,2)</f>
        <v>0</v>
      </c>
      <c r="R54" s="8">
        <f>+ROUND(IS!R39-CNO!R40,2)</f>
        <v>0</v>
      </c>
      <c r="S54" s="1">
        <f>+ROUND(IS!S39-CNO!S40,2)</f>
        <v>0</v>
      </c>
      <c r="T54" s="1">
        <f>+ROUND(IS!T39-CNO!T40,2)</f>
        <v>-177501.43</v>
      </c>
      <c r="U54" s="1">
        <f>+ROUND(IS!U39-CNO!U40,2)</f>
        <v>0</v>
      </c>
    </row>
    <row r="55" spans="6:21">
      <c r="I55" t="s">
        <v>724</v>
      </c>
      <c r="N55" s="8">
        <f>+IS!N61</f>
        <v>0</v>
      </c>
      <c r="O55" s="1">
        <f>+IS!O61</f>
        <v>0</v>
      </c>
      <c r="P55" s="1">
        <f>+IS!P61</f>
        <v>0</v>
      </c>
      <c r="Q55" s="1">
        <f>+IS!Q61</f>
        <v>0</v>
      </c>
      <c r="R55" s="8">
        <f>+IS!R61</f>
        <v>0</v>
      </c>
      <c r="S55" s="1">
        <f>+IS!S61</f>
        <v>0</v>
      </c>
      <c r="T55" s="1">
        <f>+IS!T61</f>
        <v>-78359.981923121915</v>
      </c>
      <c r="U55" s="1">
        <f>+IS!U61</f>
        <v>0</v>
      </c>
    </row>
    <row r="56" spans="6:21">
      <c r="I56" t="s">
        <v>725</v>
      </c>
      <c r="N56" s="8">
        <f>+IS!N93</f>
        <v>0</v>
      </c>
      <c r="O56" s="1">
        <f>+IS!O93</f>
        <v>0</v>
      </c>
      <c r="P56" s="1">
        <f>+IS!P93</f>
        <v>0</v>
      </c>
      <c r="Q56" s="1">
        <f>+IS!Q93</f>
        <v>0</v>
      </c>
      <c r="R56" s="8">
        <f>+IS!R93</f>
        <v>0</v>
      </c>
      <c r="S56" s="1">
        <f>+IS!S93</f>
        <v>0</v>
      </c>
      <c r="T56" s="1">
        <f>+IS!T93</f>
        <v>1070581.8477332306</v>
      </c>
      <c r="U56" s="1">
        <f>+IS!U93</f>
        <v>0</v>
      </c>
    </row>
    <row r="57" spans="6:21">
      <c r="I57" t="s">
        <v>723</v>
      </c>
      <c r="N57" s="8">
        <f>+ROUND(IS!N34+CHECK!N11,2)</f>
        <v>0</v>
      </c>
      <c r="O57" s="1110">
        <f>+ROUND(IS!O34+CHECK!O11,2)</f>
        <v>0</v>
      </c>
      <c r="P57" s="1110">
        <f>+ROUND(IS!P34+CHECK!P11,2)</f>
        <v>0</v>
      </c>
      <c r="Q57" s="1110">
        <f>+ROUND(IS!Q34+CHECK!Q11,2)</f>
        <v>0</v>
      </c>
      <c r="R57" s="8">
        <f>+ROUND(IS!R34+CHECK!R11,2)</f>
        <v>0</v>
      </c>
      <c r="S57" s="1110">
        <f>+ROUND(IS!S34+CHECK!S11,2)</f>
        <v>0</v>
      </c>
      <c r="T57" s="1110">
        <f>+ROUND(IS!T34+CHECK!T11,2)</f>
        <v>-1145340.1599999999</v>
      </c>
      <c r="U57" s="1110">
        <f>+ROUND(IS!U34+CHECK!U11,2)</f>
        <v>0</v>
      </c>
    </row>
    <row r="58" spans="6:21">
      <c r="I58" t="s">
        <v>871</v>
      </c>
      <c r="N58" s="8">
        <f>IS!N34+CHECK!N17</f>
        <v>-2.3283064365386963E-10</v>
      </c>
      <c r="O58" s="1">
        <f>IS!O34+CHECK!O17</f>
        <v>0</v>
      </c>
      <c r="P58" s="1">
        <f>IS!P34+CHECK!P17</f>
        <v>0</v>
      </c>
      <c r="Q58" s="1">
        <f>IS!Q34+CHECK!Q17</f>
        <v>0</v>
      </c>
      <c r="R58" s="1049">
        <f>IS!R34+CHECK!R17</f>
        <v>0</v>
      </c>
      <c r="S58" s="1">
        <f>IS!S34+CHECK!S17</f>
        <v>0</v>
      </c>
      <c r="T58" s="1">
        <f>IS!T34+CHECK!T17</f>
        <v>-1145340.1594808344</v>
      </c>
      <c r="U58" s="1">
        <f>IS!U34+CHECK!U17</f>
        <v>0</v>
      </c>
    </row>
    <row r="59" spans="6:21">
      <c r="I59" t="s">
        <v>726</v>
      </c>
      <c r="N59" s="8">
        <f>+ROUND(IS!N34+CHECK!N18,2)</f>
        <v>0</v>
      </c>
      <c r="O59" s="1110">
        <f>+ROUND(IS!O34+CHECK!O18,2)</f>
        <v>0</v>
      </c>
      <c r="P59" s="1110">
        <f>+ROUND(IS!P34+CHECK!P18,2)</f>
        <v>0</v>
      </c>
      <c r="Q59" s="1110">
        <f>+ROUND(IS!Q34+CHECK!Q18,2)</f>
        <v>0</v>
      </c>
      <c r="R59" s="8">
        <f>+ROUND(IS!R34+CHECK!R18,2)</f>
        <v>0</v>
      </c>
      <c r="S59" s="1110">
        <f>+ROUND(IS!S34+CHECK!S18,2)</f>
        <v>0</v>
      </c>
      <c r="T59" s="1110">
        <f>+ROUND(IS!T34+CHECK!T18,2)</f>
        <v>-1145340.1599999999</v>
      </c>
      <c r="U59" s="1110">
        <f>+ROUND(IS!U34+CHECK!U18,2)</f>
        <v>0</v>
      </c>
    </row>
    <row r="60" spans="6:21">
      <c r="I60" t="s">
        <v>777</v>
      </c>
      <c r="N60" s="8">
        <f>+ROUND(IS!N37+CHECK!N13,0)</f>
        <v>0</v>
      </c>
      <c r="O60" s="1">
        <f>+ROUND(IS!O37+CHECK!O13,0)</f>
        <v>0</v>
      </c>
      <c r="P60" s="1">
        <f>+ROUND(IS!P37+CHECK!P13,0)</f>
        <v>0</v>
      </c>
      <c r="Q60" s="1">
        <f>+ROUND(IS!Q37+CHECK!Q13,0)</f>
        <v>0</v>
      </c>
      <c r="R60" s="8">
        <f>+ROUND(IS!R37+CHECK!R13,0)</f>
        <v>0</v>
      </c>
      <c r="S60" s="1">
        <f>+ROUND(IS!S37+CHECK!S13,0)</f>
        <v>0</v>
      </c>
      <c r="T60" s="1">
        <f>+ROUND(IS!T37+CHECK!T13,0)</f>
        <v>-1013666</v>
      </c>
      <c r="U60" s="1">
        <f>+ROUND(IS!U37+CHECK!U13,0)</f>
        <v>0</v>
      </c>
    </row>
    <row r="61" spans="6:21">
      <c r="I61" t="s">
        <v>778</v>
      </c>
      <c r="N61" s="8">
        <f>+ROUND(IS!N38+CHECK!N14,0)</f>
        <v>0</v>
      </c>
      <c r="O61" s="1">
        <f>+ROUND(IS!O38+CHECK!O14,0)</f>
        <v>0</v>
      </c>
      <c r="P61" s="1">
        <f>+ROUND(IS!P38+CHECK!P14,0)</f>
        <v>0</v>
      </c>
      <c r="Q61" s="1">
        <f>+ROUND(IS!Q38+CHECK!Q14,0)</f>
        <v>0</v>
      </c>
      <c r="R61" s="8">
        <f>+ROUND(IS!R38+CHECK!R14,0)</f>
        <v>0</v>
      </c>
      <c r="S61" s="1">
        <f>+ROUND(IS!S38+CHECK!S14,0)</f>
        <v>0</v>
      </c>
      <c r="T61" s="1">
        <f>+ROUND(IS!T38+CHECK!T14,0)</f>
        <v>42225</v>
      </c>
      <c r="U61" s="1">
        <f>+ROUND(IS!U38+CHECK!U14,0)</f>
        <v>0</v>
      </c>
    </row>
    <row r="62" spans="6:21">
      <c r="F62" s="93"/>
      <c r="G62" s="140"/>
      <c r="H62" s="60"/>
      <c r="I62" s="60"/>
      <c r="J62" s="60"/>
      <c r="K62" s="60"/>
      <c r="L62" s="60"/>
      <c r="M62" s="60"/>
      <c r="N62" s="142"/>
      <c r="O62" s="141"/>
      <c r="P62" s="141"/>
      <c r="Q62" s="141"/>
      <c r="R62" s="142"/>
      <c r="S62" s="141"/>
      <c r="T62" s="141"/>
      <c r="U62" s="141"/>
    </row>
    <row r="63" spans="6:21">
      <c r="F63" s="107" t="s">
        <v>268</v>
      </c>
      <c r="N63" s="8"/>
      <c r="R63" s="8"/>
    </row>
    <row r="64" spans="6:21">
      <c r="I64" t="s">
        <v>727</v>
      </c>
      <c r="N64" s="8">
        <f>+ROUND(Recon!N18-CNO!N10,2)</f>
        <v>0</v>
      </c>
      <c r="O64" s="1">
        <f>+ROUND(Recon!O18-CNO!O10,2)</f>
        <v>0</v>
      </c>
      <c r="P64" s="1">
        <f>+ROUND(Recon!P18-CNO!P10,2)</f>
        <v>0</v>
      </c>
      <c r="Q64" s="1">
        <f>+ROUND(Recon!Q18-CNO!Q10,2)</f>
        <v>0</v>
      </c>
      <c r="R64" s="8">
        <f>+ROUND(Recon!R18-CNO!R10,2)</f>
        <v>0</v>
      </c>
      <c r="S64" s="1">
        <f>+ROUND(Recon!S18-CNO!S10,2)</f>
        <v>0</v>
      </c>
      <c r="T64" s="1">
        <f>+ROUND(Recon!T18-CNO!T10,2)</f>
        <v>0</v>
      </c>
      <c r="U64" s="1">
        <f>+ROUND(Recon!U18-CNO!U10,2)</f>
        <v>0</v>
      </c>
    </row>
    <row r="65" spans="6:21">
      <c r="I65" t="s">
        <v>728</v>
      </c>
      <c r="N65" s="8">
        <f>+ROUND(Recon!N30-'Term 1'!N13-'ISP 1'!N12-CNO!N17,2)</f>
        <v>0</v>
      </c>
      <c r="O65" s="1">
        <f>+ROUND(Recon!O30-'Term 1'!O13-'ISP 1'!O12-CNO!O17,2)</f>
        <v>0</v>
      </c>
      <c r="P65" s="1">
        <f>+ROUND(Recon!P30-'Term 1'!P13-'ISP 1'!P12-CNO!P17,2)</f>
        <v>0</v>
      </c>
      <c r="Q65" s="1">
        <f>+ROUND(Recon!Q30-'Term 1'!Q13-'ISP 1'!Q12-CNO!Q17,2)</f>
        <v>0</v>
      </c>
      <c r="R65" s="8">
        <f>+ROUND(Recon!R30-'Term 1'!R13-'ISP 1'!R12-CNO!R17,2)</f>
        <v>0</v>
      </c>
      <c r="S65" s="1">
        <f>+ROUND(Recon!S30-'Term 1'!S13-'ISP 1'!S12-CNO!S17,2)</f>
        <v>0</v>
      </c>
      <c r="T65" s="1">
        <f>+ROUND(Recon!T30-'Term 1'!T13-'ISP 1'!T12-CNO!T17,2)</f>
        <v>0</v>
      </c>
      <c r="U65" s="1">
        <f>+ROUND(Recon!U30-'Term 1'!U13-'ISP 1'!U12-CNO!U17,2)</f>
        <v>0</v>
      </c>
    </row>
    <row r="66" spans="6:21">
      <c r="I66" t="s">
        <v>729</v>
      </c>
      <c r="N66" s="8">
        <f>+ROUND(Recon!N36-'Term 1'!N22-'ISP 1'!N22-CNO!N29,2)</f>
        <v>0</v>
      </c>
      <c r="O66" s="1">
        <f>+ROUND(Recon!O36-'Term 1'!O22-'ISP 1'!O22-CNO!O29,2)</f>
        <v>0</v>
      </c>
      <c r="P66" s="1">
        <f>+ROUND(Recon!P36-'Term 1'!P22-'ISP 1'!P22-CNO!P29,2)</f>
        <v>0</v>
      </c>
      <c r="Q66" s="1">
        <f>+ROUND(Recon!Q36-'Term 1'!Q22-'ISP 1'!Q22-CNO!Q29,2)</f>
        <v>0</v>
      </c>
      <c r="R66" s="8">
        <f>+ROUND(Recon!R36-'Term 1'!R22-'ISP 1'!R22-CNO!R29,2)</f>
        <v>0</v>
      </c>
      <c r="S66" s="1">
        <f>+ROUND(Recon!S36-'Term 1'!S22-'ISP 1'!S22-CNO!S29,2)</f>
        <v>0</v>
      </c>
      <c r="T66" s="1">
        <f>+ROUND(Recon!T36-'Term 1'!T22-'ISP 1'!T22-CNO!T29,2)</f>
        <v>0</v>
      </c>
      <c r="U66" s="1">
        <f>+ROUND(Recon!U36-'Term 1'!U22-'ISP 1'!U22-CNO!U29,2)</f>
        <v>0</v>
      </c>
    </row>
    <row r="67" spans="6:21">
      <c r="I67" t="s">
        <v>730</v>
      </c>
      <c r="N67" s="8">
        <f>+ROUND(Recon!N30+CHECK!N20,2)</f>
        <v>0</v>
      </c>
      <c r="O67" s="1">
        <f>+ROUND(Recon!O30+CHECK!O20,2)</f>
        <v>0</v>
      </c>
      <c r="P67" s="1">
        <f>+ROUND(Recon!P30+CHECK!P20,2)</f>
        <v>0</v>
      </c>
      <c r="Q67" s="1">
        <f>+ROUND(Recon!Q30+CHECK!Q20,2)</f>
        <v>0</v>
      </c>
      <c r="R67" s="8">
        <f>+ROUND(Recon!R30+CHECK!R20,2)</f>
        <v>0</v>
      </c>
      <c r="S67" s="1">
        <f>+ROUND(Recon!S30+CHECK!S20,2)</f>
        <v>0</v>
      </c>
      <c r="T67" s="1">
        <f>+ROUND(Recon!T30+CHECK!T20,2)</f>
        <v>-78359.98</v>
      </c>
      <c r="U67" s="1">
        <f>+ROUND(Recon!U30+CHECK!U20,2)</f>
        <v>0</v>
      </c>
    </row>
    <row r="68" spans="6:21">
      <c r="I68" t="s">
        <v>731</v>
      </c>
      <c r="N68" s="8">
        <f>+ROUND(Recon!N36+CHECK!N22,2)</f>
        <v>0</v>
      </c>
      <c r="O68" s="1">
        <f>+ROUND(Recon!O36+CHECK!O22,2)</f>
        <v>0</v>
      </c>
      <c r="P68" s="1">
        <f>+ROUND(Recon!P36+CHECK!P22,2)</f>
        <v>0</v>
      </c>
      <c r="Q68" s="1">
        <f>+ROUND(Recon!Q36+CHECK!Q22,2)</f>
        <v>0</v>
      </c>
      <c r="R68" s="8">
        <f>+ROUND(Recon!R36+CHECK!R22,2)</f>
        <v>0</v>
      </c>
      <c r="S68" s="1">
        <f>+ROUND(Recon!S36+CHECK!S22,2)</f>
        <v>0</v>
      </c>
      <c r="T68" s="1">
        <f>+ROUND(Recon!T36+CHECK!T22,2)</f>
        <v>-1148941.83</v>
      </c>
      <c r="U68" s="1">
        <f>+ROUND(Recon!U36+CHECK!U22,2)</f>
        <v>0</v>
      </c>
    </row>
    <row r="69" spans="6:21">
      <c r="F69" s="93"/>
      <c r="G69" s="140"/>
      <c r="H69" s="60"/>
      <c r="I69" s="60"/>
      <c r="J69" s="60"/>
      <c r="K69" s="60"/>
      <c r="L69" s="60"/>
      <c r="M69" s="60"/>
      <c r="N69" s="142"/>
      <c r="O69" s="141"/>
      <c r="P69" s="141"/>
      <c r="Q69" s="141"/>
      <c r="R69" s="142"/>
      <c r="S69" s="141"/>
      <c r="T69" s="141"/>
      <c r="U69" s="141"/>
    </row>
    <row r="70" spans="6:21">
      <c r="F70" s="107" t="s">
        <v>732</v>
      </c>
      <c r="N70" s="8"/>
      <c r="R70" s="8"/>
    </row>
    <row r="71" spans="6:21">
      <c r="I71" t="s">
        <v>737</v>
      </c>
      <c r="N71" s="8">
        <f>+ROUND('Term 1'!N72,2)</f>
        <v>0</v>
      </c>
      <c r="O71" s="1">
        <f>+ROUND('Term 1'!O72,2)</f>
        <v>0</v>
      </c>
      <c r="P71" s="1">
        <f>+ROUND('Term 1'!P72,2)</f>
        <v>0</v>
      </c>
      <c r="Q71" s="1">
        <f>+ROUND('Term 1'!Q72,2)</f>
        <v>0</v>
      </c>
      <c r="R71" s="8">
        <f>+ROUND('Term 1'!R72,2)</f>
        <v>0</v>
      </c>
      <c r="S71" s="1">
        <f>+ROUND('Term 1'!S72,2)</f>
        <v>0</v>
      </c>
      <c r="T71" s="1">
        <f>+ROUND('Term 1'!T72,2)</f>
        <v>-59102.720000000001</v>
      </c>
      <c r="U71" s="1">
        <f>+ROUND('Term 1'!U72,2)</f>
        <v>0</v>
      </c>
    </row>
    <row r="72" spans="6:21">
      <c r="I72" t="s">
        <v>725</v>
      </c>
      <c r="N72" s="8">
        <f>+ROUND('Term 1'!N96,2)</f>
        <v>0</v>
      </c>
      <c r="O72" s="1">
        <f>+ROUND('Term 1'!O96,2)</f>
        <v>0</v>
      </c>
      <c r="P72" s="1">
        <f>+ROUND('Term 1'!P96,2)</f>
        <v>0</v>
      </c>
      <c r="Q72" s="1">
        <f>+ROUND('Term 1'!Q96,2)</f>
        <v>0</v>
      </c>
      <c r="R72" s="8">
        <f>+ROUND('Term 1'!R96,2)</f>
        <v>0</v>
      </c>
      <c r="S72" s="1">
        <f>+ROUND('Term 1'!S96,2)</f>
        <v>0</v>
      </c>
      <c r="T72" s="1">
        <f>+ROUND('Term 1'!T96,2)</f>
        <v>954563.14</v>
      </c>
      <c r="U72" s="1">
        <f>+ROUND('Term 1'!U96,2)</f>
        <v>0</v>
      </c>
    </row>
    <row r="73" spans="6:21">
      <c r="I73" t="s">
        <v>738</v>
      </c>
      <c r="N73" s="8">
        <f>+ROUND('Term 1'!N131,2)</f>
        <v>0</v>
      </c>
      <c r="O73" s="1">
        <f>+ROUND('Term 1'!O131,2)</f>
        <v>0</v>
      </c>
      <c r="P73" s="1">
        <f>+ROUND('Term 1'!P131,2)</f>
        <v>0</v>
      </c>
      <c r="Q73" s="1">
        <f>+ROUND('Term 1'!Q131,2)</f>
        <v>0</v>
      </c>
      <c r="R73" s="8">
        <f>+ROUND('Term 1'!R131,2)</f>
        <v>0</v>
      </c>
      <c r="S73" s="1">
        <f>+ROUND('Term 1'!S131,2)</f>
        <v>0</v>
      </c>
      <c r="T73" s="1">
        <f>+ROUND('Term 1'!T131,2)</f>
        <v>-1013665.85</v>
      </c>
      <c r="U73" s="1">
        <f>+ROUND('Term 1'!U131,2)</f>
        <v>0</v>
      </c>
    </row>
    <row r="74" spans="6:21">
      <c r="I74" t="s">
        <v>739</v>
      </c>
      <c r="N74" s="8">
        <f>+ROUND('Term 1'!N121,2)</f>
        <v>0</v>
      </c>
      <c r="O74" s="1">
        <f>+ROUND('Term 1'!O121,2)</f>
        <v>0</v>
      </c>
      <c r="P74" s="1">
        <f>+ROUND('Term 1'!P121,2)</f>
        <v>0</v>
      </c>
      <c r="Q74" s="1">
        <f>+ROUND('Term 1'!Q121,2)</f>
        <v>0</v>
      </c>
      <c r="R74" s="8">
        <f>+ROUND('Term 1'!R121,2)</f>
        <v>0</v>
      </c>
      <c r="S74" s="1">
        <f>+ROUND('Term 1'!S121,2)</f>
        <v>0</v>
      </c>
      <c r="T74" s="1">
        <f>+ROUND('Term 1'!T121,2)</f>
        <v>-199186.59</v>
      </c>
      <c r="U74" s="1">
        <f>+ROUND('Term 1'!U121,2)</f>
        <v>0</v>
      </c>
    </row>
    <row r="75" spans="6:21">
      <c r="F75" s="93"/>
      <c r="G75" s="140"/>
      <c r="H75" s="60"/>
      <c r="I75" s="60"/>
      <c r="J75" s="60"/>
      <c r="K75" s="60"/>
      <c r="L75" s="60"/>
      <c r="M75" s="60"/>
      <c r="N75" s="142"/>
      <c r="O75" s="141"/>
      <c r="P75" s="141"/>
      <c r="Q75" s="141"/>
      <c r="R75" s="142"/>
      <c r="S75" s="141"/>
      <c r="T75" s="141"/>
      <c r="U75" s="141"/>
    </row>
    <row r="76" spans="6:21">
      <c r="F76" s="107" t="s">
        <v>741</v>
      </c>
      <c r="N76" s="8"/>
      <c r="R76" s="8"/>
    </row>
    <row r="77" spans="6:21">
      <c r="I77" t="s">
        <v>737</v>
      </c>
      <c r="N77" s="8">
        <f>+ROUND('ISP 1'!N64,2)</f>
        <v>0</v>
      </c>
      <c r="O77" s="1">
        <f>+ROUND('ISP 1'!O64,2)</f>
        <v>0</v>
      </c>
      <c r="P77" s="1">
        <f>+ROUND('ISP 1'!P64,2)</f>
        <v>0</v>
      </c>
      <c r="Q77" s="1">
        <f>+ROUND('ISP 1'!Q64,2)</f>
        <v>0</v>
      </c>
      <c r="R77" s="8">
        <f>+ROUND('ISP 1'!R64,2)</f>
        <v>0</v>
      </c>
      <c r="S77" s="1">
        <f>+ROUND('ISP 1'!S64,2)</f>
        <v>0</v>
      </c>
      <c r="T77" s="1">
        <f>+ROUND('ISP 1'!T64,2)</f>
        <v>-15592.55</v>
      </c>
      <c r="U77" s="1">
        <f>+ROUND('ISP 1'!U64,2)</f>
        <v>0</v>
      </c>
    </row>
    <row r="78" spans="6:21">
      <c r="I78" t="s">
        <v>725</v>
      </c>
      <c r="N78" s="8">
        <f>+ROUND('ISP 1'!N85,2)</f>
        <v>0</v>
      </c>
      <c r="O78" s="1">
        <f>+ROUND('ISP 1'!O85,2)</f>
        <v>0</v>
      </c>
      <c r="P78" s="1">
        <f>+ROUND('ISP 1'!P85,2)</f>
        <v>0</v>
      </c>
      <c r="Q78" s="1">
        <f>+ROUND('ISP 1'!Q85,2)</f>
        <v>0</v>
      </c>
      <c r="R78" s="8">
        <f>+ROUND('ISP 1'!R85,2)</f>
        <v>0</v>
      </c>
      <c r="S78" s="1">
        <f>+ROUND('ISP 1'!S85,2)</f>
        <v>0</v>
      </c>
      <c r="T78" s="1">
        <f>+ROUND('ISP 1'!T85,2)</f>
        <v>-57818.01</v>
      </c>
      <c r="U78" s="1">
        <f>+ROUND('ISP 1'!U85,2)</f>
        <v>0</v>
      </c>
    </row>
    <row r="79" spans="6:21">
      <c r="I79" t="s">
        <v>738</v>
      </c>
      <c r="N79" s="8">
        <f>+ROUND('ISP 1'!N151,2)</f>
        <v>0</v>
      </c>
      <c r="O79" s="1">
        <f>+ROUND('ISP 1'!O151,2)</f>
        <v>0</v>
      </c>
      <c r="P79" s="1">
        <f>+ROUND('ISP 1'!P151,2)</f>
        <v>0</v>
      </c>
      <c r="Q79" s="1">
        <f>+ROUND('ISP 1'!Q151,2)</f>
        <v>0</v>
      </c>
      <c r="R79" s="8">
        <f>+ROUND('ISP 1'!R151,2)</f>
        <v>0</v>
      </c>
      <c r="S79" s="1">
        <f>+ROUND('ISP 1'!S151,2)</f>
        <v>0</v>
      </c>
      <c r="T79" s="1">
        <f>+ROUND('ISP 1'!T151,2)</f>
        <v>42225.45</v>
      </c>
      <c r="U79" s="1">
        <f>+ROUND('ISP 1'!U151,2)</f>
        <v>0</v>
      </c>
    </row>
    <row r="80" spans="6:21">
      <c r="I80" t="s">
        <v>742</v>
      </c>
      <c r="N80" s="8">
        <f>+'ISP 1'!N137</f>
        <v>0</v>
      </c>
      <c r="O80" s="1">
        <f>+'ISP 1'!O137</f>
        <v>0</v>
      </c>
      <c r="P80" s="1">
        <f>+'ISP 1'!P137</f>
        <v>0</v>
      </c>
      <c r="Q80" s="1">
        <f>+'ISP 1'!Q137</f>
        <v>0</v>
      </c>
      <c r="R80" s="8">
        <f>+'ISP 1'!R137</f>
        <v>0</v>
      </c>
      <c r="S80" s="1">
        <f>+'ISP 1'!S137</f>
        <v>0</v>
      </c>
      <c r="T80" s="1">
        <f>+'ISP 1'!T137</f>
        <v>0</v>
      </c>
      <c r="U80" s="1">
        <f>+'ISP 1'!U137</f>
        <v>0</v>
      </c>
    </row>
    <row r="81" spans="6:26">
      <c r="I81" t="s">
        <v>743</v>
      </c>
      <c r="N81" s="8">
        <f>+'ISP 1'!N138</f>
        <v>0</v>
      </c>
      <c r="O81" s="1">
        <f>+'ISP 1'!O138</f>
        <v>0</v>
      </c>
      <c r="P81" s="1">
        <f>+'ISP 1'!P138</f>
        <v>0</v>
      </c>
      <c r="Q81" s="1">
        <f>+'ISP 1'!Q138</f>
        <v>0</v>
      </c>
      <c r="R81" s="8">
        <f>+'ISP 1'!R138</f>
        <v>0</v>
      </c>
      <c r="S81" s="1">
        <f>+'ISP 1'!S138</f>
        <v>0</v>
      </c>
      <c r="T81" s="1">
        <f>+'ISP 1'!T138</f>
        <v>0</v>
      </c>
      <c r="U81" s="1">
        <f>+'ISP 1'!U138</f>
        <v>0</v>
      </c>
    </row>
    <row r="82" spans="6:26">
      <c r="I82" t="s">
        <v>744</v>
      </c>
      <c r="N82" s="8">
        <f>+'ISP 1'!N139</f>
        <v>0</v>
      </c>
      <c r="O82" s="1">
        <f>+'ISP 1'!O139</f>
        <v>0</v>
      </c>
      <c r="P82" s="1">
        <f>+'ISP 1'!P139</f>
        <v>0</v>
      </c>
      <c r="Q82" s="1">
        <f>+'ISP 1'!Q139</f>
        <v>0</v>
      </c>
      <c r="R82" s="8">
        <f>+'ISP 1'!R139</f>
        <v>0</v>
      </c>
      <c r="S82" s="1">
        <f>+'ISP 1'!S139</f>
        <v>0</v>
      </c>
      <c r="T82" s="1">
        <f>+'ISP 1'!T139</f>
        <v>0</v>
      </c>
      <c r="U82" s="1">
        <f>+'ISP 1'!U139</f>
        <v>0</v>
      </c>
    </row>
    <row r="83" spans="6:26">
      <c r="I83" t="s">
        <v>745</v>
      </c>
      <c r="N83" s="8">
        <f>+'ISP 1'!N140</f>
        <v>0</v>
      </c>
      <c r="O83" s="1">
        <f>+'ISP 1'!O140</f>
        <v>0</v>
      </c>
      <c r="P83" s="1">
        <f>+'ISP 1'!P140</f>
        <v>0</v>
      </c>
      <c r="Q83" s="1">
        <f>+'ISP 1'!Q140</f>
        <v>0</v>
      </c>
      <c r="R83" s="8">
        <f>+'ISP 1'!R140</f>
        <v>0</v>
      </c>
      <c r="S83" s="1">
        <f>+'ISP 1'!S140</f>
        <v>0</v>
      </c>
      <c r="T83" s="1">
        <f>+'ISP 1'!T140</f>
        <v>0</v>
      </c>
      <c r="U83" s="1">
        <f>+'ISP 1'!U140</f>
        <v>0</v>
      </c>
    </row>
    <row r="84" spans="6:26">
      <c r="F84" s="93"/>
      <c r="G84" s="140"/>
      <c r="H84" s="60"/>
      <c r="I84" s="60"/>
      <c r="J84" s="60"/>
      <c r="K84" s="60"/>
      <c r="L84" s="60"/>
      <c r="M84" s="60"/>
      <c r="N84" s="142"/>
      <c r="O84" s="141"/>
      <c r="P84" s="141"/>
      <c r="Q84" s="141"/>
      <c r="R84" s="142"/>
      <c r="S84" s="141"/>
      <c r="T84" s="141"/>
      <c r="U84" s="141"/>
    </row>
    <row r="85" spans="6:26">
      <c r="F85" s="107" t="s">
        <v>721</v>
      </c>
      <c r="N85" s="8"/>
      <c r="R85" s="8"/>
    </row>
    <row r="86" spans="6:26">
      <c r="I86" t="s">
        <v>737</v>
      </c>
      <c r="N86" s="8">
        <f>+CNO!N56</f>
        <v>0</v>
      </c>
      <c r="O86" s="1">
        <f>+CNO!O56</f>
        <v>0</v>
      </c>
      <c r="P86" s="1">
        <f>+CNO!P56</f>
        <v>0</v>
      </c>
      <c r="Q86" s="1">
        <f>+CNO!Q56</f>
        <v>0</v>
      </c>
      <c r="R86" s="8">
        <f>+CNO!R56</f>
        <v>0</v>
      </c>
      <c r="S86" s="1">
        <f>+CNO!S56</f>
        <v>0</v>
      </c>
      <c r="T86" s="1">
        <f>+CNO!T56</f>
        <v>-3664.71</v>
      </c>
      <c r="U86" s="1">
        <f>+CNO!U56</f>
        <v>0</v>
      </c>
    </row>
    <row r="87" spans="6:26">
      <c r="I87" t="s">
        <v>746</v>
      </c>
      <c r="N87" s="8">
        <f>+CNO!N88</f>
        <v>0</v>
      </c>
      <c r="O87" s="1">
        <f>+CNO!O88</f>
        <v>0</v>
      </c>
      <c r="P87" s="1">
        <f>+CNO!P88</f>
        <v>0</v>
      </c>
      <c r="Q87" s="1">
        <f>+CNO!Q88</f>
        <v>0</v>
      </c>
      <c r="R87" s="8">
        <f>+CNO!R88</f>
        <v>0</v>
      </c>
      <c r="S87" s="1">
        <f>+CNO!S88</f>
        <v>0</v>
      </c>
      <c r="T87" s="1">
        <f>+CNO!T88</f>
        <v>173836.71864529364</v>
      </c>
      <c r="U87" s="1">
        <f>+CNO!U88</f>
        <v>0</v>
      </c>
    </row>
    <row r="88" spans="6:26">
      <c r="I88" t="s">
        <v>748</v>
      </c>
      <c r="N88" s="8">
        <f>ROUND(-CNO!N65-IS!N10,2)</f>
        <v>0</v>
      </c>
      <c r="O88" s="1">
        <f>ROUND(-CNO!O65-IS!O10,2)</f>
        <v>0</v>
      </c>
      <c r="P88" s="1">
        <f>ROUND(-CNO!P65-IS!P10,2)</f>
        <v>0</v>
      </c>
      <c r="Q88" s="1">
        <f>ROUND(-CNO!Q65-IS!Q10,2)</f>
        <v>0</v>
      </c>
      <c r="R88" s="8">
        <f>ROUND(-CNO!R65-IS!R10,2)</f>
        <v>0</v>
      </c>
      <c r="S88" s="1">
        <f>ROUND(-CNO!S65-IS!S10,2)</f>
        <v>0</v>
      </c>
      <c r="T88" s="1">
        <f>ROUND(-CNO!T65-IS!T10,2)</f>
        <v>1794.72</v>
      </c>
      <c r="U88" s="1">
        <f>ROUND(-CNO!U65-IS!U10,2)</f>
        <v>0</v>
      </c>
    </row>
    <row r="89" spans="6:26">
      <c r="F89" s="93"/>
      <c r="G89" s="140"/>
      <c r="H89" s="60"/>
      <c r="I89" s="60"/>
      <c r="J89" s="60"/>
      <c r="K89" s="60"/>
      <c r="L89" s="60"/>
      <c r="M89" s="60"/>
      <c r="N89" s="142"/>
      <c r="O89" s="141"/>
      <c r="P89" s="141"/>
      <c r="Q89" s="141"/>
      <c r="R89" s="142"/>
      <c r="S89" s="141"/>
      <c r="T89" s="141"/>
      <c r="U89" s="141"/>
      <c r="W89" s="60"/>
      <c r="X89" s="60"/>
      <c r="Y89" s="60"/>
      <c r="Z89" s="60"/>
    </row>
    <row r="90" spans="6:26">
      <c r="F90" s="107" t="s">
        <v>747</v>
      </c>
      <c r="N90" s="8"/>
      <c r="R90" s="8"/>
      <c r="W90" s="3" t="s">
        <v>938</v>
      </c>
      <c r="Y90" s="1114"/>
    </row>
    <row r="91" spans="6:26">
      <c r="I91" t="s">
        <v>748</v>
      </c>
      <c r="N91" s="560">
        <f>+ROUND('Inv 3'!N16-IS!N10,2)</f>
        <v>-0.32</v>
      </c>
      <c r="O91" s="559">
        <f>+ROUND('Inv 3'!O16-IS!O10,2)</f>
        <v>-0.09</v>
      </c>
      <c r="P91" s="559">
        <f>+ROUND('Inv 3'!P16-IS!P10,2)</f>
        <v>0.16</v>
      </c>
      <c r="Q91" s="559">
        <f>+ROUND('Inv 3'!Q16-IS!Q10,2)</f>
        <v>-0.21</v>
      </c>
      <c r="R91" s="560">
        <f>+ROUND('Inv 3'!R16-IS!R10,2)</f>
        <v>-0.39</v>
      </c>
      <c r="S91" s="559">
        <f>+ROUND('Inv 3'!S16-IS!S10,2)</f>
        <v>0.28999999999999998</v>
      </c>
      <c r="T91" s="559">
        <f>+ROUND('Inv 3'!T16-IS!T10,2)</f>
        <v>0</v>
      </c>
      <c r="U91" s="559">
        <f>+ROUND('Inv 3'!U16-IS!U10,2)</f>
        <v>0</v>
      </c>
      <c r="X91" t="s">
        <v>328</v>
      </c>
      <c r="Y91" s="8">
        <f>('Inv 1'!AB59/1000)-'Inv 1'!O53</f>
        <v>0</v>
      </c>
      <c r="Z91" s="1110">
        <f>('Inv 1'!AC59/1000)-'Inv 1'!P53</f>
        <v>0</v>
      </c>
    </row>
    <row r="92" spans="6:26">
      <c r="I92" t="s">
        <v>828</v>
      </c>
      <c r="N92" s="560">
        <v>0.32</v>
      </c>
      <c r="O92" s="559">
        <v>0.09</v>
      </c>
      <c r="P92" s="559">
        <v>-0.16</v>
      </c>
      <c r="Q92" s="559">
        <v>0.21</v>
      </c>
      <c r="R92" s="560">
        <v>0.39</v>
      </c>
      <c r="S92" s="559">
        <v>-0.28999999999999998</v>
      </c>
      <c r="T92" s="559"/>
      <c r="U92" s="559"/>
      <c r="X92" t="s">
        <v>931</v>
      </c>
      <c r="Y92" s="8">
        <f>('Inv 1'!AB59/1000)-'Inv 1'!O53</f>
        <v>0</v>
      </c>
      <c r="Z92" s="1110">
        <f>('Inv 1'!AC59/1000)-'Inv 1'!P53</f>
        <v>0</v>
      </c>
    </row>
    <row r="93" spans="6:26">
      <c r="N93" s="8"/>
      <c r="R93" s="8"/>
      <c r="Y93" s="1115"/>
    </row>
    <row r="94" spans="6:26">
      <c r="N94" s="8"/>
      <c r="R94" s="8"/>
      <c r="Y94" s="1115"/>
    </row>
    <row r="95" spans="6:26">
      <c r="N95" s="8"/>
      <c r="R95" s="8"/>
      <c r="Y95" s="1115"/>
    </row>
    <row r="96" spans="6:26">
      <c r="N96" s="8"/>
      <c r="R96" s="8"/>
      <c r="Y96" s="1115"/>
    </row>
    <row r="97" spans="14:26">
      <c r="N97" s="8"/>
      <c r="R97" s="8"/>
      <c r="W97" s="60"/>
      <c r="X97" s="60"/>
      <c r="Y97" s="1116"/>
      <c r="Z97" s="60"/>
    </row>
    <row r="98" spans="14:26">
      <c r="N98" s="8"/>
      <c r="R98" s="8"/>
      <c r="W98" s="3" t="s">
        <v>939</v>
      </c>
      <c r="Y98" s="1115"/>
    </row>
    <row r="99" spans="14:26">
      <c r="N99" s="8"/>
      <c r="R99" s="8"/>
      <c r="X99" t="s">
        <v>932</v>
      </c>
      <c r="Y99" s="8">
        <f>('Inv 2'!AD44/1000)-'Inv 2'!N27</f>
        <v>0</v>
      </c>
    </row>
    <row r="100" spans="14:26">
      <c r="N100" s="8"/>
      <c r="R100" s="8"/>
      <c r="X100" t="s">
        <v>936</v>
      </c>
      <c r="Y100" s="8">
        <f>('Inv 2'!AI44/1000)-'Inv 2'!U27</f>
        <v>0</v>
      </c>
    </row>
    <row r="101" spans="14:26">
      <c r="N101" s="8"/>
      <c r="R101" s="8"/>
      <c r="X101" t="s">
        <v>935</v>
      </c>
      <c r="Y101" s="8">
        <f>('Inv 2'!AD58/1000)-'Inv 2'!N37</f>
        <v>0</v>
      </c>
    </row>
    <row r="102" spans="14:26">
      <c r="N102" s="8"/>
      <c r="R102" s="8"/>
      <c r="X102" t="s">
        <v>933</v>
      </c>
      <c r="Y102" s="8">
        <f>('Inv 2'!AI58/1000)-'Inv 2'!U37</f>
        <v>0</v>
      </c>
    </row>
    <row r="103" spans="14:26">
      <c r="N103" s="8"/>
      <c r="R103" s="8"/>
      <c r="X103" t="s">
        <v>934</v>
      </c>
      <c r="Y103" s="8">
        <f>('Inv 2'!AD72/1000)-'Inv 2'!N47</f>
        <v>0</v>
      </c>
    </row>
    <row r="104" spans="14:26">
      <c r="N104" s="8"/>
      <c r="R104" s="8"/>
      <c r="X104" t="s">
        <v>940</v>
      </c>
      <c r="Y104" s="8">
        <f>('Inv 2'!AI72/1000)-'Inv 2'!U47</f>
        <v>0</v>
      </c>
    </row>
    <row r="105" spans="14:26">
      <c r="N105" s="8"/>
      <c r="R105" s="8"/>
    </row>
    <row r="106" spans="14:26">
      <c r="N106" s="8"/>
      <c r="R106" s="8"/>
    </row>
    <row r="107" spans="14:26">
      <c r="N107" s="8"/>
      <c r="R107" s="8"/>
    </row>
    <row r="108" spans="14:26">
      <c r="N108" s="8"/>
      <c r="R108" s="8"/>
    </row>
    <row r="109" spans="14:26">
      <c r="N109" s="8"/>
      <c r="R109" s="8"/>
    </row>
    <row r="110" spans="14:26">
      <c r="N110" s="8"/>
      <c r="R110" s="8"/>
    </row>
    <row r="111" spans="14:26">
      <c r="N111" s="8"/>
      <c r="R111" s="8"/>
    </row>
    <row r="112" spans="14:26">
      <c r="N112" s="8"/>
      <c r="R112" s="8"/>
    </row>
    <row r="113" spans="14:18">
      <c r="N113" s="8"/>
      <c r="R113" s="8"/>
    </row>
    <row r="114" spans="14:18">
      <c r="N114" s="8"/>
      <c r="R114" s="8"/>
    </row>
    <row r="115" spans="14:18">
      <c r="N115" s="8"/>
      <c r="R115" s="8"/>
    </row>
    <row r="116" spans="14:18">
      <c r="N116" s="8"/>
      <c r="R116" s="8"/>
    </row>
    <row r="117" spans="14:18">
      <c r="N117" s="8"/>
      <c r="R117" s="8"/>
    </row>
    <row r="118" spans="14:18">
      <c r="N118" s="8"/>
      <c r="R118" s="8"/>
    </row>
    <row r="119" spans="14:18">
      <c r="N119" s="8"/>
      <c r="R119" s="8"/>
    </row>
    <row r="120" spans="14:18">
      <c r="N120" s="8"/>
      <c r="R120" s="8"/>
    </row>
    <row r="121" spans="14:18">
      <c r="N121" s="8"/>
      <c r="R121" s="8"/>
    </row>
    <row r="122" spans="14:18">
      <c r="N122" s="8"/>
      <c r="R122" s="8"/>
    </row>
    <row r="123" spans="14:18">
      <c r="N123" s="8"/>
      <c r="R123" s="8"/>
    </row>
    <row r="124" spans="14:18">
      <c r="N124" s="8"/>
      <c r="R124" s="8"/>
    </row>
    <row r="125" spans="14:18">
      <c r="N125" s="8"/>
      <c r="R125" s="8"/>
    </row>
    <row r="126" spans="14:18">
      <c r="N126" s="8"/>
      <c r="R126" s="8"/>
    </row>
    <row r="127" spans="14:18">
      <c r="N127" s="8"/>
      <c r="R127" s="8"/>
    </row>
    <row r="128" spans="14:18">
      <c r="N128" s="8"/>
      <c r="R128" s="8"/>
    </row>
    <row r="129" spans="14:18">
      <c r="N129" s="8"/>
      <c r="R129" s="8"/>
    </row>
    <row r="130" spans="14:18">
      <c r="N130" s="8"/>
      <c r="R130" s="8"/>
    </row>
    <row r="131" spans="14:18">
      <c r="N131" s="8"/>
      <c r="R131" s="8"/>
    </row>
    <row r="132" spans="14:18">
      <c r="N132" s="8"/>
      <c r="R132" s="8"/>
    </row>
    <row r="133" spans="14:18">
      <c r="N133" s="8"/>
      <c r="R133" s="8"/>
    </row>
    <row r="134" spans="14:18">
      <c r="N134" s="8"/>
      <c r="R134" s="8"/>
    </row>
    <row r="135" spans="14:18">
      <c r="N135" s="8"/>
      <c r="R135" s="8"/>
    </row>
    <row r="136" spans="14:18">
      <c r="N136" s="8"/>
      <c r="R136" s="8"/>
    </row>
    <row r="137" spans="14:18">
      <c r="N137" s="8"/>
      <c r="R137" s="8"/>
    </row>
    <row r="138" spans="14:18">
      <c r="N138" s="8"/>
      <c r="R138" s="8"/>
    </row>
    <row r="139" spans="14:18">
      <c r="N139" s="8"/>
      <c r="R139" s="8"/>
    </row>
    <row r="140" spans="14:18">
      <c r="N140" s="8"/>
      <c r="R140" s="8"/>
    </row>
    <row r="141" spans="14:18">
      <c r="N141" s="8"/>
      <c r="R141" s="8"/>
    </row>
    <row r="142" spans="14:18">
      <c r="N142" s="8"/>
      <c r="R142" s="8"/>
    </row>
    <row r="143" spans="14:18">
      <c r="N143" s="8"/>
      <c r="R143" s="8"/>
    </row>
    <row r="144" spans="14:18">
      <c r="N144" s="8"/>
      <c r="R144" s="8"/>
    </row>
    <row r="145" spans="14:18">
      <c r="N145" s="8"/>
      <c r="R145" s="8"/>
    </row>
    <row r="146" spans="14:18">
      <c r="N146" s="8"/>
      <c r="R146" s="8"/>
    </row>
    <row r="147" spans="14:18">
      <c r="N147" s="8"/>
      <c r="R147" s="8"/>
    </row>
    <row r="148" spans="14:18">
      <c r="N148" s="8"/>
      <c r="R148" s="8"/>
    </row>
    <row r="149" spans="14:18">
      <c r="N149" s="8"/>
      <c r="R149" s="8"/>
    </row>
    <row r="150" spans="14:18">
      <c r="N150" s="8"/>
      <c r="R150" s="8"/>
    </row>
    <row r="151" spans="14:18">
      <c r="N151" s="8"/>
      <c r="R151" s="8"/>
    </row>
    <row r="152" spans="14:18">
      <c r="N152" s="8"/>
      <c r="R152" s="8"/>
    </row>
    <row r="153" spans="14:18">
      <c r="N153" s="8"/>
      <c r="R153" s="8"/>
    </row>
    <row r="154" spans="14:18">
      <c r="N154" s="8"/>
      <c r="R154" s="8"/>
    </row>
    <row r="155" spans="14:18">
      <c r="N155" s="8"/>
      <c r="R155" s="8"/>
    </row>
    <row r="156" spans="14:18">
      <c r="N156" s="8"/>
      <c r="R156" s="8"/>
    </row>
    <row r="157" spans="14:18">
      <c r="N157" s="8"/>
      <c r="R157" s="8"/>
    </row>
  </sheetData>
  <conditionalFormatting sqref="N34:U34">
    <cfRule type="cellIs" dxfId="0" priority="1" operator="equal">
      <formula>"ERROR"</formula>
    </cfRule>
  </conditionalFormatting>
  <pageMargins left="0.7" right="0.7" top="0.75" bottom="0.75" header="0.3" footer="0.3"/>
  <pageSetup orientation="portrait" verticalDpi="0" r:id="rId1"/>
  <customProperties>
    <customPr name="AdaptiveCustomXmlPartId" r:id="rId2"/>
    <customPr name="AdaptiveReportingSheetKey" r:id="rId3"/>
    <customPr name="CurrentId" r:id="rId4"/>
    <customPr name="isReportSheetChanged" r:id="rId5"/>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C50E-0FD8-470B-B78A-07D0EED7ADC4}">
  <dimension ref="A1:AF124"/>
  <sheetViews>
    <sheetView zoomScale="90" zoomScaleNormal="90" workbookViewId="0"/>
  </sheetViews>
  <sheetFormatPr defaultColWidth="9.109375" defaultRowHeight="14.4"/>
  <cols>
    <col min="3" max="3" width="1.5546875" customWidth="1"/>
    <col min="4" max="4" width="43.6640625" customWidth="1"/>
    <col min="5" max="5" width="13.109375" customWidth="1"/>
    <col min="6" max="7" width="10.6640625" customWidth="1"/>
    <col min="8" max="9" width="9.33203125" customWidth="1"/>
    <col min="14" max="14" width="9.33203125" customWidth="1"/>
    <col min="22" max="22" width="57.109375" bestFit="1" customWidth="1"/>
    <col min="23" max="23" width="18.5546875" bestFit="1" customWidth="1"/>
    <col min="24" max="24" width="17.88671875" bestFit="1" customWidth="1"/>
    <col min="25" max="25" width="9.5546875" bestFit="1" customWidth="1"/>
    <col min="27" max="27" width="57.33203125" customWidth="1"/>
    <col min="28" max="29" width="18.5546875" bestFit="1" customWidth="1"/>
    <col min="30" max="30" width="11.5546875" bestFit="1" customWidth="1"/>
    <col min="32" max="32" width="11.33203125" bestFit="1" customWidth="1"/>
  </cols>
  <sheetData>
    <row r="1" spans="1:29">
      <c r="A1" s="20" t="s">
        <v>527</v>
      </c>
      <c r="B1" s="20">
        <v>2026</v>
      </c>
    </row>
    <row r="2" spans="1:29">
      <c r="E2" t="str">
        <f>+_xlfn.CONCAT($A$1,CHAR(10),$B$1)</f>
        <v>Q2
2026</v>
      </c>
      <c r="F2" t="str">
        <f>+_xlfn.CONCAT($A$1,CHAR(10),$B$1-1)</f>
        <v>Q2
2025</v>
      </c>
      <c r="G2" t="str">
        <f>+_xlfn.CONCAT("Q",CHOOSE(RIGHT($A$1,1),"4","1","2","3"),CHAR(10),IF($A$1="Q1",$B$1-1,$B$1))</f>
        <v>Q1
2026</v>
      </c>
      <c r="H2" t="str">
        <f>+_xlfn.CONCAT("Q",CHOOSE(RIGHT($A$1,1),"4","1","2","3")," ",IF($A$1="Q1",$B$1-1,$B$1))</f>
        <v>Q1 2026</v>
      </c>
      <c r="I2" s="64"/>
      <c r="J2" s="64" t="s">
        <v>526</v>
      </c>
      <c r="K2" s="64" t="s">
        <v>527</v>
      </c>
      <c r="L2" s="64" t="s">
        <v>528</v>
      </c>
      <c r="M2" s="64" t="s">
        <v>525</v>
      </c>
    </row>
    <row r="3" spans="1:29">
      <c r="E3" t="str">
        <f>+_xlfn.CONCAT(CHOOSE(RIGHT($A$1,1),"Mar 31","Jun 30","Sep 30","Dec 31"),",",CHAR(10),$B$1)</f>
        <v>Jun 30,
2026</v>
      </c>
      <c r="F3" t="str">
        <f>+_xlfn.CONCAT(CHOOSE(RIGHT($A$1,1),"Mar 31","Jun 30","Sep 30","Dec 31"),",",CHAR(10),$B$1-1)</f>
        <v>Jun 30,
2025</v>
      </c>
      <c r="G3" t="str">
        <f>+_xlfn.CONCAT(CHOOSE(RIGHT($A$1,1),"Dec 31","Mar 31","Jun 30","Sep 30"),",",CHAR(10),IF($A$1="Q1",$B$1-1,$B$1))</f>
        <v>Mar 31,
2026</v>
      </c>
      <c r="I3" s="64" t="str">
        <f>+_xlfn.CONCAT("Dec 31,",CHAR(10),B1-1)</f>
        <v>Dec 31,
2025</v>
      </c>
      <c r="J3" s="64">
        <f>+K3-1</f>
        <v>2023</v>
      </c>
      <c r="K3" s="64">
        <f>+L3-1</f>
        <v>2024</v>
      </c>
      <c r="L3" s="64">
        <f>+$B$1-1</f>
        <v>2025</v>
      </c>
      <c r="M3" s="64"/>
      <c r="O3" s="65"/>
    </row>
    <row r="4" spans="1:29">
      <c r="V4" s="1194" t="s">
        <v>529</v>
      </c>
      <c r="W4" s="1194"/>
      <c r="X4" s="1194"/>
      <c r="Y4" s="1194"/>
      <c r="AA4" s="1194" t="s">
        <v>530</v>
      </c>
      <c r="AB4" s="1194"/>
      <c r="AC4" s="1194"/>
    </row>
    <row r="5" spans="1:29">
      <c r="C5" s="58" t="s">
        <v>531</v>
      </c>
      <c r="D5" s="66"/>
      <c r="E5" s="21" t="str">
        <f>+_xlfn.CONCAT($A$1," ",$B$1)</f>
        <v>Q2 2026</v>
      </c>
      <c r="F5" s="21" t="str">
        <f>+_xlfn.CONCAT($A$1," ",$B$1-1)</f>
        <v>Q2 2025</v>
      </c>
      <c r="G5" s="21" t="s">
        <v>532</v>
      </c>
    </row>
    <row r="6" spans="1:29">
      <c r="D6" t="s">
        <v>197</v>
      </c>
      <c r="E6" s="22">
        <f>+INDEX(IS!$G$7:$AH$41,MATCH("*Total revenues*",IS!$J$7:$J$41,0),MATCH(E$2,IS!$G$4:$AH$4,0))/1000</f>
        <v>865.0661803651991</v>
      </c>
      <c r="F6" s="22">
        <f>+INDEX(IS!$G$7:$AH$41,MATCH("*Total revenues*",IS!$J$7:$J$41,0),MATCH(F$2,IS!$G$4:$AH$4,0))/1000</f>
        <v>793.33403889380486</v>
      </c>
      <c r="G6" s="23">
        <f>+E6/F6-1</f>
        <v>9.0418585305396482E-2</v>
      </c>
      <c r="I6" s="67"/>
      <c r="W6" s="21" t="str">
        <f>+_xlfn.CONCAT($A$1," ",$B$1)</f>
        <v>Q2 2026</v>
      </c>
      <c r="X6" s="21" t="str">
        <f>+_xlfn.CONCAT($A$1," ",$B$1-1)</f>
        <v>Q2 2025</v>
      </c>
      <c r="Y6" s="21" t="s">
        <v>532</v>
      </c>
      <c r="AB6" s="3" t="str">
        <f>+_xlfn.CONCAT(CHOOSE(RIGHT($A$1,1),"March 31","June 30","September 30","December 31"),", ",$B$1)</f>
        <v>June 30, 2026</v>
      </c>
      <c r="AC6" s="3" t="str">
        <f>+_xlfn.CONCAT(CHOOSE(RIGHT($A$1,1),"March 31","June 30","September 30","December 31"),", ",$B$1-1)</f>
        <v>June 30, 2025</v>
      </c>
    </row>
    <row r="7" spans="1:29">
      <c r="D7" t="s">
        <v>900</v>
      </c>
      <c r="E7" s="22">
        <f>+INDEX(IS!$G$7:$AH$41,MATCH("Net Income",IS!$H$7:$H$41,0),MATCH(E$2,IS!$G$4:$AH$4,0))/1000</f>
        <v>202.2782967566647</v>
      </c>
      <c r="F7" s="22">
        <f>+INDEX(IS!$G$7:$AH$41,MATCH("Net Income",IS!$H$7:$H$41,0),MATCH(F$2,IS!$G$4:$AH$4,0))/1000</f>
        <v>178.34355839110182</v>
      </c>
      <c r="G7" s="23">
        <f>+E7/F7-1</f>
        <v>0.13420579123511001</v>
      </c>
      <c r="I7" s="67"/>
      <c r="V7" t="s">
        <v>534</v>
      </c>
      <c r="W7" s="68">
        <f>+E$24</f>
        <v>148612</v>
      </c>
      <c r="X7" s="68">
        <f>+F$24</f>
        <v>152592</v>
      </c>
      <c r="Y7" s="23">
        <f t="shared" ref="Y7:Y14" si="0">+W7/X7-1</f>
        <v>-2.6082625563594419E-2</v>
      </c>
      <c r="AA7" s="3" t="s">
        <v>94</v>
      </c>
    </row>
    <row r="8" spans="1:29">
      <c r="D8" t="s">
        <v>535</v>
      </c>
      <c r="E8" s="22">
        <f>+INDEX(BS!$G$6:$W$61,MATCH("Total stockholders' equity",BS!$G$6:$G$61,0),MATCH(E$3,BS!$G$4:$W$4,0))/1000</f>
        <v>2522.9534287755914</v>
      </c>
      <c r="F8" s="22">
        <f>+INDEX(BS!$G$6:$W$61,MATCH("Total stockholders' equity",BS!$G$6:$G$61,0),MATCH(F$3,BS!$G$4:$W$4,0))/1000</f>
        <v>2307.5164313716446</v>
      </c>
      <c r="G8" s="23">
        <f t="shared" ref="G8:G10" si="1">+E8/F8-1</f>
        <v>9.3363147700701754E-2</v>
      </c>
      <c r="I8" s="67"/>
      <c r="V8" t="s">
        <v>502</v>
      </c>
      <c r="W8" s="68">
        <f>+E$22</f>
        <v>82346</v>
      </c>
      <c r="X8" s="68">
        <f>+F$22</f>
        <v>80924</v>
      </c>
      <c r="Y8" s="23">
        <f t="shared" si="0"/>
        <v>1.7572042904453467E-2</v>
      </c>
      <c r="AA8" s="69" t="s">
        <v>95</v>
      </c>
      <c r="AB8" s="24">
        <f>+INDEX(IS!$G$6:$AH$42,MATCH("Direct Premiums",IS!$H$6:$H$42,0),MATCH(E$2,IS!$G$4:$AH$4,0))</f>
        <v>877753.55957243673</v>
      </c>
      <c r="AC8" s="24">
        <f>+INDEX(IS!$G$6:$AH$42,MATCH("Direct Premiums",IS!$H$6:$H$42,0),MATCH(F$2,IS!$G$4:$AH$4,0))</f>
        <v>866254.47920119704</v>
      </c>
    </row>
    <row r="9" spans="1:29">
      <c r="D9" t="s">
        <v>536</v>
      </c>
      <c r="E9" s="25">
        <f>+INDEX(Corp!$G$6:$AH$62,MATCH("Diluted earnings per share",Corp!$I$6:$I$62,0),MATCH(E$2,Corp!$G$4:$AH$4,0))</f>
        <v>6.45</v>
      </c>
      <c r="F9" s="25">
        <f>+INDEX(Corp!$G$6:$AH$62,MATCH("Diluted earnings per share",Corp!$I$6:$I$62,0),MATCH(F$2,Corp!$G$4:$AH$4,0))</f>
        <v>5.4</v>
      </c>
      <c r="G9" s="23">
        <f t="shared" si="1"/>
        <v>0.19444444444444442</v>
      </c>
      <c r="V9" t="s">
        <v>537</v>
      </c>
      <c r="W9" s="68">
        <f>+E$23</f>
        <v>11020</v>
      </c>
      <c r="X9" s="68">
        <f>+F$23</f>
        <v>12903</v>
      </c>
      <c r="Y9" s="23">
        <f t="shared" si="0"/>
        <v>-0.14593505386344263</v>
      </c>
      <c r="AA9" s="69" t="s">
        <v>96</v>
      </c>
      <c r="AB9" s="26">
        <f>+INDEX(IS!$G$6:$AH$42,MATCH("Ceded Premiums",IS!$H$6:$H$42,0),MATCH(E$2,IS!$G$4:$AH$4,0))</f>
        <v>-442280.29401642876</v>
      </c>
      <c r="AC9" s="26">
        <f>+INDEX(IS!$G$6:$AH$42,MATCH("Ceded Premiums",IS!$H$6:$H$42,0),MATCH(F$2,IS!$G$4:$AH$4,0))</f>
        <v>-433408.48529131553</v>
      </c>
    </row>
    <row r="10" spans="1:29">
      <c r="D10" t="s">
        <v>538</v>
      </c>
      <c r="E10" s="25">
        <f>+E8/INDEX(Corp!$G$6:$AH$62,MATCH("Share count, end of period (2)",Corp!$H$6:$H$62,0),MATCH(E$2,Corp!$G$4:$AH$4,0))*1000000</f>
        <v>81.653774445832056</v>
      </c>
      <c r="F10" s="25">
        <f>+F8/INDEX(Corp!$G$6:$AH$62,MATCH("Share count, end of period (2)",Corp!$H$6:$H$62,0),MATCH(F$2,Corp!$G$4:$AH$4,0))*1000000</f>
        <v>70.901877796257025</v>
      </c>
      <c r="G10" s="23">
        <f t="shared" si="1"/>
        <v>0.15164473754096575</v>
      </c>
      <c r="V10" t="s">
        <v>539</v>
      </c>
      <c r="W10" s="68">
        <f>+E$28</f>
        <v>78904</v>
      </c>
      <c r="X10" s="68">
        <f>+F$28</f>
        <v>89850</v>
      </c>
      <c r="Y10" s="23">
        <f t="shared" si="0"/>
        <v>-0.12182526432943797</v>
      </c>
      <c r="AA10" s="70" t="s">
        <v>97</v>
      </c>
      <c r="AB10" s="27">
        <f>+SUM(AB8:AB9)</f>
        <v>435473.26555600797</v>
      </c>
      <c r="AC10" s="27">
        <f>+SUM(AC8:AC9)</f>
        <v>432845.99390988151</v>
      </c>
    </row>
    <row r="11" spans="1:29">
      <c r="D11" t="s">
        <v>540</v>
      </c>
      <c r="E11" s="28">
        <f>+INDEX(Corp!$G$6:$AH$62,MATCH("Net income return on stockholders' equity",Corp!$H$6:$H$62,0),MATCH(E$2,Corp!$G$4:$AH$4,0))</f>
        <v>0.32089662941172198</v>
      </c>
      <c r="F11" s="28">
        <f>+INDEX(Corp!$G$6:$AH$62,MATCH("Net income return on stockholders' equity",Corp!$H$6:$H$62,0),MATCH(F$2,Corp!$G$4:$AH$4,0))</f>
        <v>0.31261432793022409</v>
      </c>
      <c r="G11" s="23"/>
      <c r="U11" s="64" t="s">
        <v>541</v>
      </c>
      <c r="V11" s="97" t="s">
        <v>542</v>
      </c>
      <c r="W11" s="98">
        <f>+E$31</f>
        <v>0.17697987600821827</v>
      </c>
      <c r="X11" s="98">
        <f>+F$31</f>
        <v>0.19627503407780225</v>
      </c>
      <c r="Y11" s="23">
        <f t="shared" si="0"/>
        <v>-9.830673656607547E-2</v>
      </c>
      <c r="AA11" s="69" t="s">
        <v>295</v>
      </c>
      <c r="AB11" s="27">
        <f>+INDEX(IS!$G$6:$AH$42,MATCH("Sales*",IS!$I$6:$I$42,0),MATCH(E$2,IS!$G$4:$AH$4,0))+INDEX(IS!$G$6:$AH$42,MATCH("Asset*",IS!$I$6:$I$42,0),MATCH(E$2,IS!$G$4:$AH$4,0))+INDEX(IS!$G$6:$AH$42,MATCH("Account*",IS!$I$6:$I$42,0),MATCH(E$2,IS!$G$4:$AH$4,0))+INDEX(IS!$G$6:$AH$42,MATCH("Other*",IS!$I$6:$I$42,0),MATCH(E$2,IS!$G$4:$AH$4,0))</f>
        <v>368610.51650228503</v>
      </c>
      <c r="AC11" s="27">
        <f>+INDEX(IS!$G$6:$AH$42,MATCH("Sales*",IS!$I$6:$I$42,0),MATCH(F$2,IS!$G$4:$AH$4,0))+INDEX(IS!$G$6:$AH$42,MATCH("Asset*",IS!$I$6:$I$42,0),MATCH(F$2,IS!$G$4:$AH$4,0))+INDEX(IS!$G$6:$AH$42,MATCH("Account*",IS!$I$6:$I$42,0),MATCH(F$2,IS!$G$4:$AH$4,0))+INDEX(IS!$G$6:$AH$42,MATCH("Other*",IS!$I$6:$I$42,0),MATCH(F$2,IS!$G$4:$AH$4,0))</f>
        <v>306031.67931517074</v>
      </c>
    </row>
    <row r="12" spans="1:29">
      <c r="V12" t="s">
        <v>543</v>
      </c>
      <c r="W12" s="71">
        <f>+E$35</f>
        <v>4.3573219999999999</v>
      </c>
      <c r="X12" s="71">
        <f>+F$35</f>
        <v>3.5483720000000001</v>
      </c>
      <c r="Y12" s="23">
        <f t="shared" si="0"/>
        <v>0.22797778812368041</v>
      </c>
      <c r="AA12" s="69" t="s">
        <v>98</v>
      </c>
      <c r="AB12" s="27">
        <f>+INDEX(IS!$G$6:$AH$42,MATCH("Net Investment*",IS!$H$6:$H$42,0),MATCH(E$2,IS!$G$4:$AH$4,0))</f>
        <v>43737.713263577185</v>
      </c>
      <c r="AC12" s="27">
        <f>+INDEX(IS!$G$6:$AH$42,MATCH("Net Investment*",IS!$H$6:$H$42,0),MATCH(F$2,IS!$G$4:$AH$4,0))</f>
        <v>40928.088615971748</v>
      </c>
    </row>
    <row r="13" spans="1:29">
      <c r="C13" s="58" t="s">
        <v>544</v>
      </c>
      <c r="D13" s="66"/>
      <c r="E13" s="21" t="str">
        <f>+_xlfn.CONCAT($A$1," ",$B$1)</f>
        <v>Q2 2026</v>
      </c>
      <c r="F13" s="21" t="str">
        <f>+_xlfn.CONCAT($A$1," ",$B$1-1)</f>
        <v>Q2 2025</v>
      </c>
      <c r="G13" s="21" t="s">
        <v>532</v>
      </c>
      <c r="V13" t="s">
        <v>545</v>
      </c>
      <c r="W13" s="71">
        <f>+E$37</f>
        <v>135.54969</v>
      </c>
      <c r="X13" s="71">
        <f>+F$37</f>
        <v>113.975309</v>
      </c>
      <c r="Y13" s="23">
        <f t="shared" si="0"/>
        <v>0.18928995401977811</v>
      </c>
      <c r="AA13" s="69" t="s">
        <v>546</v>
      </c>
      <c r="AB13" s="27">
        <f>+IFERROR(INDEX(IS!$G$6:$AH$42,MATCH("Investment (losses) gains*",IS!$H$6:$H$42,0),MATCH(E$2,IS!$G$4:$AH$4,0)),0)</f>
        <v>1690.7668738471536</v>
      </c>
      <c r="AC13" s="27">
        <f>+IFERROR(INDEX(IS!$G$6:$AH$42,MATCH("Investment (losses) gains",IS!$H$6:$H$42,0),MATCH(F$2,IS!$G$4:$AH$4,0)),0)</f>
        <v>-2865.960541993572</v>
      </c>
    </row>
    <row r="14" spans="1:29">
      <c r="D14" t="s">
        <v>163</v>
      </c>
      <c r="E14" s="22">
        <f>+INDEX(Recon!$N$6:$AH$46,MATCH("Adjusted operating revenues",Recon!$H$6:$H$46,0),MATCH(IR!E$2,Recon!$N$4:$AH$4,0))/1000</f>
        <v>863.37541349135199</v>
      </c>
      <c r="F14" s="22">
        <f>+INDEX(Recon!$N$6:$AH$46,MATCH("Adjusted operating revenues",Recon!$H$6:$H$46,0),MATCH(IR!F$2,Recon!$N$4:$AH$4,0))/1000</f>
        <v>796.01813557579851</v>
      </c>
      <c r="G14" s="23">
        <f>+E14/F14-1</f>
        <v>8.4617767994482618E-2</v>
      </c>
      <c r="V14" t="s">
        <v>548</v>
      </c>
      <c r="W14" s="72">
        <f>+INDEX('5yr'!$G$4:$AA$39,MATCH("*mortgage*",'5yr'!$G$4:$G$39,0),MATCH(IR!E$2,'5yr'!$G$3:$AA$3,0))</f>
        <v>150.63</v>
      </c>
      <c r="X14" s="72">
        <f>+INDEX('5yr'!$G$4:$AA$39,MATCH("*mortgage*",'5yr'!$G$4:$G$39,0),MATCH(IR!F$2,'5yr'!$G$3:$AA$3,0))</f>
        <v>132.78800000000001</v>
      </c>
      <c r="Y14" s="23">
        <f t="shared" si="0"/>
        <v>0.13436455101364575</v>
      </c>
      <c r="AA14" s="69" t="s">
        <v>35</v>
      </c>
      <c r="AB14" s="26">
        <f>+INDEX(IS!$G$6:$AH$42,MATCH("Other*",IS!$H$6:$H$42,0),MATCH(E$2,IS!$G$4:$AH$4,0))</f>
        <v>15553.918169481836</v>
      </c>
      <c r="AC14" s="26">
        <f>+INDEX(IS!$G$6:$AH$42,MATCH("Other*",IS!$H$6:$H$42,0),MATCH(F$2,IS!$G$4:$AH$4,0))</f>
        <v>16394.237594774455</v>
      </c>
    </row>
    <row r="15" spans="1:29">
      <c r="D15" t="s">
        <v>165</v>
      </c>
      <c r="E15" s="22">
        <f>+INDEX(Corp!$G$6:$AH$62,MATCH("Adjusted net operating income",Corp!$H$6:$H$62,0),MATCH(E$2,Corp!$G$4:$AH$4,0))/1000</f>
        <v>200.95381888281756</v>
      </c>
      <c r="F15" s="22">
        <f>+INDEX(Corp!$G$6:$AH$62,MATCH("Adjusted net operating income",Corp!$H$6:$H$62,0),MATCH(F$2,Corp!$G$4:$AH$4,0))/1000</f>
        <v>180.38491707309538</v>
      </c>
      <c r="G15" s="23">
        <f t="shared" ref="G15:G18" si="2">+E15/F15-1</f>
        <v>0.1140278363816154</v>
      </c>
      <c r="V15" t="s">
        <v>550</v>
      </c>
      <c r="AA15" s="70" t="s">
        <v>161</v>
      </c>
      <c r="AB15" s="29">
        <f>+SUM(AB10:AB14)</f>
        <v>865066.18036519911</v>
      </c>
      <c r="AC15" s="29">
        <f>+SUM(AC10:AC14)</f>
        <v>793334.03889380477</v>
      </c>
    </row>
    <row r="16" spans="1:29">
      <c r="D16" t="s">
        <v>547</v>
      </c>
      <c r="E16" s="22">
        <f>+INDEX(BS!$G$6:$W$61,MATCH("Adjusted stockholders’ equity",BS!$J$6:$J$61,0),MATCH(E$3,BS!$G$4:$W$4,0))/1000</f>
        <v>2442.793211545591</v>
      </c>
      <c r="F16" s="22">
        <f>+INDEX(BS!$G$6:$W$61,MATCH("Adjusted stockholders’ equity",BS!$J$6:$J$61,0),MATCH(F$3,BS!$G$4:$W$4,0))/1000</f>
        <v>2257.5192096116443</v>
      </c>
      <c r="G16" s="23">
        <f t="shared" si="2"/>
        <v>8.2069734399212058E-2</v>
      </c>
      <c r="AA16" t="s">
        <v>549</v>
      </c>
    </row>
    <row r="17" spans="2:29">
      <c r="D17" t="s">
        <v>668</v>
      </c>
      <c r="E17" s="25">
        <f>+INDEX(Corp!$G$6:$AH$62,MATCH("Diluted adjusted operating income per share",Corp!$I$6:$I$62,0),MATCH(E$2,Corp!$G$4:$AH$4,0))</f>
        <v>6.41</v>
      </c>
      <c r="F17" s="25">
        <f>+INDEX(Corp!$G$6:$AH$62,MATCH("Diluted adjusted operating income per share",Corp!$I$6:$I$62,0),MATCH(F$2,Corp!$G$4:$AH$4,0))</f>
        <v>5.46</v>
      </c>
      <c r="G17" s="23">
        <f t="shared" si="2"/>
        <v>0.17399267399267404</v>
      </c>
      <c r="V17" s="1194" t="s">
        <v>553</v>
      </c>
      <c r="W17" s="1194"/>
      <c r="X17" s="1194"/>
      <c r="Y17" s="1194"/>
      <c r="AA17" s="3" t="s">
        <v>102</v>
      </c>
    </row>
    <row r="18" spans="2:29">
      <c r="D18" t="s">
        <v>551</v>
      </c>
      <c r="E18" s="25">
        <f>+E16/INDEX(Corp!$G$6:$AH$62,MATCH("Share count, end of period (2)",Corp!$H$6:$H$62,0),MATCH(E$2,Corp!$G$4:$AH$4,0))*1000000</f>
        <v>79.059440272805375</v>
      </c>
      <c r="F18" s="25">
        <f>+F16/INDEX(Corp!$G$6:$AH$62,MATCH("Share count, end of period (2)",Corp!$H$6:$H$62,0),MATCH(F$2,Corp!$G$4:$AH$4,0))*1000000</f>
        <v>69.365638721559435</v>
      </c>
      <c r="G18" s="23">
        <f t="shared" si="2"/>
        <v>0.13974933021460134</v>
      </c>
      <c r="AA18" s="69" t="s">
        <v>103</v>
      </c>
      <c r="AB18" s="27">
        <f>+INDEX(IS!$G$6:$AH$42,MATCH("Benefit*",IS!$H$6:$H$42,0),MATCH(E$2,IS!$G$4:$AH$4,0))</f>
        <v>147327.69438687334</v>
      </c>
      <c r="AC18" s="27">
        <f>+INDEX(IS!$G$6:$AH$42,MATCH("Benefit*",IS!$H$6:$H$42,0),MATCH(F$2,IS!$G$4:$AH$4,0))</f>
        <v>152493.93637226263</v>
      </c>
    </row>
    <row r="19" spans="2:29">
      <c r="D19" t="s">
        <v>552</v>
      </c>
      <c r="E19" s="28">
        <f>+INDEX(Corp!$G$6:$AH$62,MATCH("Adjusted net operating income return on adjusted stockholders' equity",Corp!$H$6:$H$62,0),MATCH(E$2,Corp!$G$4:$AH$4,0))</f>
        <v>0.33079320936043555</v>
      </c>
      <c r="F19" s="28">
        <f>+INDEX(Corp!$G$6:$AH$62,MATCH("Adjusted net operating income return on adjusted stockholders' equity",Corp!$H$6:$H$62,0),MATCH(F$2,Corp!$G$4:$AH$4,0))</f>
        <v>0.32239707692617753</v>
      </c>
      <c r="V19" s="3" t="s">
        <v>555</v>
      </c>
      <c r="W19" s="21" t="str">
        <f>+_xlfn.CONCAT($A$1," ",$B$1)</f>
        <v>Q2 2026</v>
      </c>
      <c r="X19" s="21" t="str">
        <f>+_xlfn.CONCAT($A$1," ",$B$1-1)</f>
        <v>Q2 2025</v>
      </c>
      <c r="Y19" s="21" t="s">
        <v>532</v>
      </c>
      <c r="AA19" s="69" t="s">
        <v>700</v>
      </c>
      <c r="AB19" s="27">
        <f>+INDEX(IS!$G$6:$AH$42,MATCH("Future policy benefits remeasurement (gain)/loss",IS!$H$6:$H$42,0),MATCH(E$2,IS!$G$4:$AH$4,0))</f>
        <v>-5037.9300177068499</v>
      </c>
      <c r="AC19" s="27">
        <f>+INDEX(IS!$G$6:$AH$42,MATCH("Future policy benefits remeasurement (gain)/loss",IS!$H$6:$H$42,0),MATCH(F$2,IS!$G$4:$AH$4,0))</f>
        <v>-5894.9472067112201</v>
      </c>
    </row>
    <row r="20" spans="2:29">
      <c r="V20" t="s">
        <v>557</v>
      </c>
      <c r="W20" s="24">
        <f>+E$44*1000</f>
        <v>443606.22183341591</v>
      </c>
      <c r="X20" s="24">
        <f>+F$44*1000</f>
        <v>441833.9117702035</v>
      </c>
      <c r="Y20" s="23">
        <f t="shared" ref="Y20:Y23" si="3">+W20/X20-1</f>
        <v>4.0112585657168243E-3</v>
      </c>
      <c r="AA20" s="69" t="s">
        <v>39</v>
      </c>
      <c r="AB20" s="27">
        <f>+INDEX(IS!$G$6:$AH$42,MATCH("Amort*",IS!$H$6:$H$42,0),MATCH(E$2,IS!$G$4:$AH$4,0))</f>
        <v>85127.761220652726</v>
      </c>
      <c r="AC20" s="27">
        <f>+INDEX(IS!$G$6:$AH$42,MATCH("Amort*",IS!$H$6:$H$42,0),MATCH(F$2,IS!$G$4:$AH$4,0))</f>
        <v>80042.501979026725</v>
      </c>
    </row>
    <row r="21" spans="2:29">
      <c r="C21" s="58" t="s">
        <v>554</v>
      </c>
      <c r="D21" s="66"/>
      <c r="E21" s="21" t="str">
        <f>+_xlfn.CONCAT($A$1," ",$B$1)</f>
        <v>Q2 2026</v>
      </c>
      <c r="F21" s="21" t="str">
        <f>+_xlfn.CONCAT($A$1," ",$B$1-1)</f>
        <v>Q2 2025</v>
      </c>
      <c r="G21" s="21" t="s">
        <v>532</v>
      </c>
      <c r="V21" t="s">
        <v>559</v>
      </c>
      <c r="W21" s="27">
        <f>+E$58*1000</f>
        <v>360518.76337629865</v>
      </c>
      <c r="X21" s="27">
        <f>+F$58*1000</f>
        <v>298296.985785008</v>
      </c>
      <c r="Y21" s="23">
        <f t="shared" si="3"/>
        <v>0.20859003126547115</v>
      </c>
      <c r="AA21" s="69" t="s">
        <v>299</v>
      </c>
      <c r="AB21" s="27">
        <f>+INDEX(IS!$G$19:$AH$42,MATCH("Sales*",IS!$I$19:$I$42,0),MATCH(E$2,IS!$G$4:$AH$4,0))+INDEX(IS!$G$19:$AH$42,MATCH("Asset*",IS!$I$19:$I$42,0),MATCH(E$2,IS!$G$4:$AH$4,0))+INDEX(IS!$G$19:$AH$42,MATCH("Other*",IS!$I$19:$I$42,0),MATCH(E$2,IS!$G$4:$AH$4,0))</f>
        <v>201923.99426814786</v>
      </c>
      <c r="AC21" s="27">
        <f>+INDEX(IS!$G$19:$AH$42,MATCH("Sales*",IS!$I$19:$I$42,0),MATCH(F$2,IS!$G$4:$AH$4,0))+INDEX(IS!$G$19:$AH$42,MATCH("Asset*",IS!$I$19:$I$42,0),MATCH(F$2,IS!$G$4:$AH$4,0))+INDEX(IS!$G$19:$AH$42,MATCH("Other*",IS!$I$19:$I$42,0),MATCH(F$2,IS!$G$4:$AH$4,0))</f>
        <v>166291.10028828515</v>
      </c>
    </row>
    <row r="22" spans="2:29">
      <c r="D22" t="s">
        <v>502</v>
      </c>
      <c r="E22" s="27">
        <f>+INDEX('5yr'!$G$4:$AA$39,MATCH("Recruits",'5yr'!$G$4:$G$39,0),MATCH(IR!E$2,'5yr'!$G$3:$AA$3,0))</f>
        <v>82346</v>
      </c>
      <c r="F22" s="27">
        <f>+INDEX('5yr'!$G$4:$AA$39,MATCH("Recruits",'5yr'!$G$4:$G$39,0),MATCH(IR!F$2,'5yr'!$G$3:$AA$3,0))</f>
        <v>80924</v>
      </c>
      <c r="G22" s="23">
        <f t="shared" ref="G22:G24" si="4">+E22/F22-1</f>
        <v>1.7572042904453467E-2</v>
      </c>
      <c r="V22" t="s">
        <v>561</v>
      </c>
      <c r="W22" s="27">
        <f>+INDEX(CNO!$G$6:$AH$30,MATCH("Adjusted operating revenues",CNO!$H$6:$H$30,0),MATCH(IR!$E$2,CNO!$G$4:$AH$4,0))</f>
        <v>59250.42827443323</v>
      </c>
      <c r="X22" s="27">
        <f>+INDEX(CNO!$G$6:$AH$30,MATCH("Adjusted operating revenues",CNO!$H$6:$H$30,0),MATCH(IR!$F$2,CNO!$G$4:$AH$4,0))</f>
        <v>55887.23802058708</v>
      </c>
      <c r="Y22" s="23">
        <f t="shared" si="3"/>
        <v>6.017814393703369E-2</v>
      </c>
      <c r="AA22" s="69" t="s">
        <v>106</v>
      </c>
      <c r="AB22" s="27">
        <f>+INDEX(IS!$G$6:$AH$42,MATCH("Insurance expenses",IS!$H$6:$H$42,0),MATCH(E$2,IS!$G$4:$AH$4,0))</f>
        <v>71159.110342559143</v>
      </c>
      <c r="AC22" s="27">
        <f>+INDEX(IS!$G$6:$AH$42,MATCH("Insurance expenses",IS!$H$6:$H$42,0),MATCH(F$2,IS!$G$4:$AH$4,0))</f>
        <v>64362.298569533828</v>
      </c>
    </row>
    <row r="23" spans="2:29" ht="15" thickBot="1">
      <c r="D23" t="s">
        <v>558</v>
      </c>
      <c r="E23" s="27">
        <f>+INDEX('5yr'!$G$4:$AA$39,MATCH("New life-licensed representatives",'5yr'!$H$4:$H$39,0),MATCH(IR!E$2,'5yr'!$G$3:$AA$3,0))</f>
        <v>11020</v>
      </c>
      <c r="F23" s="27">
        <f>+INDEX('5yr'!$G$4:$AA$39,MATCH("New life-licensed representatives",'5yr'!$H$4:$H$39,0),MATCH(IR!F$2,'5yr'!$G$3:$AA$3,0))</f>
        <v>12903</v>
      </c>
      <c r="G23" s="23">
        <f t="shared" si="4"/>
        <v>-0.14593505386344263</v>
      </c>
      <c r="V23" s="69" t="s">
        <v>563</v>
      </c>
      <c r="W23" s="73">
        <f>+SUM(W20:W22)</f>
        <v>863375.41348414787</v>
      </c>
      <c r="X23" s="73">
        <f>+SUM(X20:X22)</f>
        <v>796018.13557579869</v>
      </c>
      <c r="Y23" s="23">
        <f t="shared" si="3"/>
        <v>8.461776798543208E-2</v>
      </c>
      <c r="AA23" s="69" t="s">
        <v>105</v>
      </c>
      <c r="AB23" s="27">
        <f>+INDEX(IS!$G$6:$AH$42,MATCH("Insurance commissions",IS!$H$6:$H$42,0),MATCH(E$2,IS!$G$4:$AH$4,0))</f>
        <v>5778.067037003505</v>
      </c>
      <c r="AC23" s="27">
        <f>+INDEX(IS!$G$6:$AH$42,MATCH("Insurance commissions",IS!$H$6:$H$42,0),MATCH(F$2,IS!$G$4:$AH$4,0))</f>
        <v>5750.7592203275526</v>
      </c>
    </row>
    <row r="24" spans="2:29" ht="15" thickTop="1">
      <c r="D24" t="s">
        <v>560</v>
      </c>
      <c r="E24" s="27">
        <f>+INDEX('5yr'!$G$4:$AA$39,MATCH("Life-insurance licensed sales force, end of period",'5yr'!$G$4:$G$39,0),MATCH(IR!E$2,'5yr'!$G$3:$AA$3,0))</f>
        <v>148612</v>
      </c>
      <c r="F24" s="27">
        <f>+INDEX('5yr'!$G$4:$AA$39,MATCH("Life-insurance licensed sales force, end of period",'5yr'!$G$4:$G$39,0),MATCH(IR!F$2,'5yr'!$G$3:$AA$3,0))</f>
        <v>152592</v>
      </c>
      <c r="G24" s="23">
        <f t="shared" si="4"/>
        <v>-2.6082625563594419E-2</v>
      </c>
      <c r="J24" s="1199" t="s">
        <v>556</v>
      </c>
      <c r="K24" s="1199"/>
      <c r="L24" s="1199"/>
      <c r="M24" s="1199"/>
      <c r="W24" s="74"/>
      <c r="X24" s="74"/>
      <c r="AA24" s="69" t="s">
        <v>109</v>
      </c>
      <c r="AB24" s="27">
        <f>+INDEX(IS!$G$6:$AH$42,MATCH("Interest Expense",IS!$H$6:$H$42,0),MATCH(E$2,IS!$G$4:$AH$4,0))</f>
        <v>5832.6161948528934</v>
      </c>
      <c r="AC24" s="27">
        <f>+INDEX(IS!$G$6:$AH$42,MATCH("Interest Expense",IS!$H$6:$H$42,0),MATCH(F$2,IS!$G$4:$AH$4,0))</f>
        <v>6000.2477840515021</v>
      </c>
    </row>
    <row r="25" spans="2:29">
      <c r="D25" t="s">
        <v>550</v>
      </c>
      <c r="J25" s="21" t="str">
        <f>+_xlfn.CONCAT("YE ",J$3)</f>
        <v>YE 2023</v>
      </c>
      <c r="K25" s="21" t="str">
        <f>+_xlfn.CONCAT("YE ",K$3)</f>
        <v>YE 2024</v>
      </c>
      <c r="L25" s="21" t="str">
        <f>+_xlfn.CONCAT("YE ",L$3)</f>
        <v>YE 2025</v>
      </c>
      <c r="M25" s="21" t="str">
        <f>+$E$5</f>
        <v>Q2 2026</v>
      </c>
      <c r="V25" s="3" t="s">
        <v>566</v>
      </c>
      <c r="W25" s="31"/>
      <c r="X25" s="31"/>
      <c r="Y25" s="21"/>
      <c r="AA25" s="69" t="s">
        <v>110</v>
      </c>
      <c r="AB25" s="27">
        <f>+INDEX(IS!$G$6:$AH$42,MATCH("Other operating expenses",IS!$H$6:$H$42,0),MATCH(E$2,IS!$G$4:$AH$4,0))</f>
        <v>94735.878283376223</v>
      </c>
      <c r="AC25" s="27">
        <f>+INDEX(IS!$G$6:$AH$42,MATCH("Other operating expenses",IS!$H$6:$H$42,0),MATCH(F$2,IS!$G$4:$AH$4,0))</f>
        <v>89791.644131063455</v>
      </c>
    </row>
    <row r="26" spans="2:29">
      <c r="J26" s="30">
        <f>+INDEX('5yr'!$G$4:$AA$39,MATCH("Life-insurance licensed sales force, end of period",'5yr'!$G$4:$G$39,0),MATCH(IR!J$3,'5yr'!$G$3:$AA$3,0))/1000</f>
        <v>141.572</v>
      </c>
      <c r="K26" s="30">
        <f>+INDEX('5yr'!$G$4:$AA$39,MATCH("Life-insurance licensed sales force, end of period",'5yr'!$G$4:$G$39,0),MATCH(IR!K$3,'5yr'!$G$3:$AA$3,0))/1000</f>
        <v>151.61099999999999</v>
      </c>
      <c r="L26" s="30">
        <f>+INDEX('5yr'!$G$4:$AA$39,MATCH("Life-insurance licensed sales force, end of period",'5yr'!$G$4:$G$39,0),MATCH(IR!L$3,'5yr'!$G$3:$AA$3,0))/1000</f>
        <v>151.524</v>
      </c>
      <c r="M26" s="30">
        <f>+E24/1000</f>
        <v>148.61199999999999</v>
      </c>
      <c r="V26" t="s">
        <v>557</v>
      </c>
      <c r="W26" s="24">
        <f>+INDEX('Term 1'!$G$6:$AH$44,MATCH("Income before income taxes",'Term 1'!$H$6:$H$44,0),MATCH(IR!E$2,'Term 1'!$G$4:$AH$4,0))</f>
        <v>148480.41131150792</v>
      </c>
      <c r="X26" s="24">
        <f>+INDEX('Term 1'!$G$6:$AH$44,MATCH("Income before income taxes",'Term 1'!$H$6:$H$44,0),MATCH(IR!F$2,'Term 1'!$G$4:$AH$4,0))</f>
        <v>155012.4369934072</v>
      </c>
      <c r="Y26" s="23">
        <f t="shared" ref="Y26:Y27" si="5">+W26/X26-1</f>
        <v>-4.2138720018814246E-2</v>
      </c>
      <c r="AA26" s="70" t="s">
        <v>118</v>
      </c>
      <c r="AB26" s="29">
        <f>+SUM(AB18:AB25)</f>
        <v>606847.19171575888</v>
      </c>
      <c r="AC26" s="29">
        <f>+SUM(AC18:AC25)</f>
        <v>558837.54113783967</v>
      </c>
    </row>
    <row r="27" spans="2:29">
      <c r="C27" s="58" t="s">
        <v>564</v>
      </c>
      <c r="D27" s="66"/>
      <c r="E27" s="21" t="str">
        <f>+_xlfn.CONCAT($A$1," ",$B$1)</f>
        <v>Q2 2026</v>
      </c>
      <c r="F27" s="21" t="str">
        <f>+_xlfn.CONCAT($A$1," ",$B$1-1)</f>
        <v>Q2 2025</v>
      </c>
      <c r="G27" s="21" t="s">
        <v>532</v>
      </c>
      <c r="V27" t="s">
        <v>559</v>
      </c>
      <c r="W27" s="24">
        <f>+INDEX('ISP 1'!$G$6:$AH$44,MATCH("Income before income taxes",'ISP 1'!$H$6:$H$44,0),MATCH(IR!E$2,'ISP 1'!$G$4:$AH$4,0))</f>
        <v>104215.60939894724</v>
      </c>
      <c r="X27" s="24">
        <f>+INDEX('ISP 1'!$G$6:$AH$44,MATCH("Income before income taxes",'ISP 1'!$H$6:$H$44,0),MATCH(IR!F$2,'ISP 1'!$G$4:$AH$4,0))</f>
        <v>79420.33569851442</v>
      </c>
      <c r="Y27" s="23">
        <f t="shared" si="5"/>
        <v>0.31220308353464477</v>
      </c>
      <c r="AA27" s="75" t="s">
        <v>113</v>
      </c>
      <c r="AB27" s="27">
        <f>+INDEX(IS!$G$6:$AH$42,MATCH("Income before income taxes",IS!$H$6:$H$42,0),MATCH(E$2,IS!$G$4:$AH$4,0))</f>
        <v>258218.98864944035</v>
      </c>
      <c r="AC27" s="27">
        <f>+INDEX(IS!$G$6:$AH$42,MATCH("Income before income taxes",IS!$H$6:$H$42,0),MATCH(F$2,IS!$G$4:$AH$4,0))</f>
        <v>234496.49775596522</v>
      </c>
    </row>
    <row r="28" spans="2:29">
      <c r="D28" t="s">
        <v>565</v>
      </c>
      <c r="E28" s="27">
        <f>+INDEX('5yr'!$G$4:$AA$39,MATCH("Issued term life policies",'5yr'!$G$4:$G$39,0),MATCH(IR!E$2,'5yr'!$G$3:$AA$3,0))</f>
        <v>78904</v>
      </c>
      <c r="F28" s="27">
        <f>+INDEX('5yr'!$G$4:$AA$39,MATCH("Issued term life policies",'5yr'!$G$4:$G$39,0),MATCH(IR!F$2,'5yr'!$G$3:$AA$3,0))</f>
        <v>89850</v>
      </c>
      <c r="G28" s="23">
        <f t="shared" ref="G28:G30" si="6">+E28/F28-1</f>
        <v>-0.12182526432943797</v>
      </c>
      <c r="J28" s="1199" t="s">
        <v>562</v>
      </c>
      <c r="K28" s="1199"/>
      <c r="L28" s="1199"/>
      <c r="M28" s="1199"/>
      <c r="V28" t="s">
        <v>561</v>
      </c>
      <c r="W28" s="24">
        <f>+INDEX(CNO!$G$6:$AH$43,MATCH("Adjusted operating income before income taxes",CNO!$H$6:$H$43,0),MATCH(IR!E$2,CNO!$G$4:$AH$4,0))</f>
        <v>3832.2010579337802</v>
      </c>
      <c r="X28" s="24">
        <f>+INDEX(CNO!$G$6:$AH$43,MATCH("Adjusted operating income before income taxes",CNO!$H$6:$H$43,0),MATCH(IR!F$2,CNO!$G$4:$AH$4,0))</f>
        <v>2747.821746037378</v>
      </c>
      <c r="Y28" s="23">
        <f>+W28/X28-1</f>
        <v>0.3946323350341705</v>
      </c>
      <c r="AA28" s="69" t="s">
        <v>13</v>
      </c>
      <c r="AB28" s="27">
        <f>+INDEX(IS!$G$6:$AH$42,MATCH("Income taxes",IS!$I$6:$I$42,0),MATCH(E$2,IS!$G$4:$AH$4,0))</f>
        <v>55940.691892775649</v>
      </c>
      <c r="AC28" s="27">
        <f>+INDEX(IS!$G$6:$AH$42,MATCH("Income taxes",IS!$I$6:$I$42,0),MATCH(F$2,IS!$G$4:$AH$4,0))</f>
        <v>56152.9393648634</v>
      </c>
    </row>
    <row r="29" spans="2:29" ht="15" thickBot="1">
      <c r="D29" t="s">
        <v>567</v>
      </c>
      <c r="E29" s="22">
        <f>+INDEX('5yr'!$G$4:$AA$39,MATCH("Issued term life face amount",'5yr'!$H$4:$H$39,0),MATCH(IR!E$2,'5yr'!$G$3:$AA$3,0))/1000</f>
        <v>27.736509999999999</v>
      </c>
      <c r="F29" s="22">
        <f>+INDEX('5yr'!$G$4:$AA$39,MATCH("Issued term life face amount",'5yr'!$H$4:$H$39,0),MATCH(IR!F$2,'5yr'!$G$3:$AA$3,0))/1000</f>
        <v>30.292180999999999</v>
      </c>
      <c r="G29" s="23">
        <f t="shared" si="6"/>
        <v>-8.4367348788784824E-2</v>
      </c>
      <c r="J29" s="21">
        <f>+K$29-1</f>
        <v>2023</v>
      </c>
      <c r="K29" s="21">
        <f>+L$29-1</f>
        <v>2024</v>
      </c>
      <c r="L29" s="21">
        <f>+M$29-1</f>
        <v>2025</v>
      </c>
      <c r="M29" s="21">
        <f>+$B$1</f>
        <v>2026</v>
      </c>
      <c r="V29" s="77" t="s">
        <v>571</v>
      </c>
      <c r="W29" s="78"/>
      <c r="X29" s="78"/>
      <c r="Y29" s="23"/>
      <c r="AA29" s="76" t="s">
        <v>533</v>
      </c>
      <c r="AB29" s="32">
        <f>+AB27-AB28</f>
        <v>202278.2967566647</v>
      </c>
      <c r="AC29" s="32">
        <f>+AC27-AC28</f>
        <v>178343.55839110183</v>
      </c>
    </row>
    <row r="30" spans="2:29" ht="15.6" thickTop="1" thickBot="1">
      <c r="D30" t="s">
        <v>568</v>
      </c>
      <c r="E30" s="22">
        <f>+INDEX('5yr'!$G$4:$AA$39,MATCH("Term life face amount in force, end of period",'5yr'!$G$4:$G$39,0),MATCH(IR!E$2,'5yr'!$G$3:$AA$3,0))/1000</f>
        <v>967.90451272787948</v>
      </c>
      <c r="F30" s="22">
        <f>+INDEX('5yr'!$G$4:$AA$39,MATCH("Term life face amount in force, end of period",'5yr'!$G$4:$G$39,0),MATCH(IR!F$2,'5yr'!$G$3:$AA$3,0))/1000</f>
        <v>968.31179672787948</v>
      </c>
      <c r="G30" s="23">
        <f t="shared" si="6"/>
        <v>-4.2061245290647697E-4</v>
      </c>
      <c r="I30" s="18" t="s">
        <v>525</v>
      </c>
      <c r="J30" s="30">
        <f>+INDEX(Manual!$A$25:$BV$44,MATCH("Issued policies",Manual!$B$25:$B$44,0),MATCH(_xlfn.CONCAT($I30,CHAR(10),J$29),Manual!$A$2:$BV$2,0))/1000</f>
        <v>88.757000000000005</v>
      </c>
      <c r="K30" s="30">
        <f>+INDEX(Manual!$A$25:$BV$44,MATCH("Issued policies",Manual!$B$25:$B$44,0),MATCH(_xlfn.CONCAT($I30,CHAR(10),K$29),Manual!$A$2:$BV$2,0))/1000</f>
        <v>89.664000000000001</v>
      </c>
      <c r="L30" s="30">
        <f>+INDEX(Manual!$A$25:$BV$44,MATCH("Issued policies",Manual!$B$25:$B$44,0),MATCH(_xlfn.CONCAT($I30,CHAR(10),L$29),Manual!$A$2:$BV$2,0))/1000</f>
        <v>76.143000000000001</v>
      </c>
      <c r="M30" s="30">
        <f>+INDEX(Manual!$A$25:$BV$44,MATCH("Issued policies",Manual!$B$25:$B$44,0),MATCH(_xlfn.CONCAT($I30,CHAR(10),M$29),Manual!$A$2:$BV$2,0))/1000</f>
        <v>0</v>
      </c>
      <c r="V30" s="69" t="s">
        <v>574</v>
      </c>
      <c r="W30" s="79">
        <f>+SUM(W26:W28)</f>
        <v>256528.22176838893</v>
      </c>
      <c r="X30" s="79">
        <f>+SUM(X26:X28)</f>
        <v>237180.59443795899</v>
      </c>
      <c r="Y30" s="23">
        <f>+W30/X30-1</f>
        <v>8.1573399275254976E-2</v>
      </c>
      <c r="AA30" t="s">
        <v>549</v>
      </c>
    </row>
    <row r="31" spans="2:29" ht="15" thickTop="1">
      <c r="B31" t="s">
        <v>541</v>
      </c>
      <c r="D31" s="97" t="s">
        <v>569</v>
      </c>
      <c r="E31" s="98">
        <f>+E$28/E$24/3</f>
        <v>0.17697987600821827</v>
      </c>
      <c r="F31" s="98">
        <f>+F$28/F$24/3</f>
        <v>0.19627503407780225</v>
      </c>
      <c r="I31" s="18" t="s">
        <v>528</v>
      </c>
      <c r="J31" s="30">
        <f>+INDEX(Manual!$A$25:$BV$44,MATCH("Issued policies",Manual!$B$25:$B$44,0),MATCH(_xlfn.CONCAT($I31,CHAR(10),J$29),Manual!$A$2:$BV$2,0))/1000</f>
        <v>88.588999999999999</v>
      </c>
      <c r="K31" s="30">
        <f>+INDEX(Manual!$A$25:$BV$44,MATCH("Issued policies",Manual!$B$25:$B$44,0),MATCH(_xlfn.CONCAT($I31,CHAR(10),K$29),Manual!$A$2:$BV$2,0))/1000</f>
        <v>93.376999999999995</v>
      </c>
      <c r="L31" s="30">
        <f>+INDEX(Manual!$A$25:$BV$44,MATCH("Issued policies",Manual!$B$25:$B$44,0),MATCH(_xlfn.CONCAT($I31,CHAR(10),L$29),Manual!$A$2:$BV$2,0))/1000</f>
        <v>79.379000000000005</v>
      </c>
      <c r="M31" s="30">
        <f>+INDEX(Manual!$A$25:$BV$44,MATCH("Issued policies",Manual!$B$25:$B$44,0),MATCH(_xlfn.CONCAT($I31,CHAR(10),M$29),Manual!$A$2:$BV$2,0))/1000</f>
        <v>0</v>
      </c>
      <c r="AA31" s="3" t="s">
        <v>575</v>
      </c>
    </row>
    <row r="32" spans="2:29" ht="15" thickBot="1">
      <c r="D32" t="s">
        <v>550</v>
      </c>
      <c r="I32" s="18" t="s">
        <v>527</v>
      </c>
      <c r="J32" s="30">
        <f>+INDEX(Manual!$A$25:$BV$44,MATCH("Issued policies",Manual!$B$25:$B$44,0),MATCH(_xlfn.CONCAT($I32,CHAR(10),J$29),Manual!$A$2:$BV$2,0))/1000</f>
        <v>96.953000000000003</v>
      </c>
      <c r="K32" s="30">
        <f>+INDEX(Manual!$A$25:$BV$44,MATCH("Issued policies",Manual!$B$25:$B$44,0),MATCH(_xlfn.CONCAT($I32,CHAR(10),K$29),Manual!$A$2:$BV$2,0))/1000</f>
        <v>100.768</v>
      </c>
      <c r="L32" s="30">
        <f>+INDEX(Manual!$A$25:$BV$44,MATCH("Issued policies",Manual!$B$25:$B$44,0),MATCH(_xlfn.CONCAT($I32,CHAR(10),L$29),Manual!$A$2:$BV$2,0))/1000</f>
        <v>89.85</v>
      </c>
      <c r="M32" s="30">
        <f>+INDEX(Manual!$A$25:$BV$44,MATCH("Issued policies",Manual!$B$25:$B$44,0),MATCH(_xlfn.CONCAT($I32,CHAR(10),M$29),Manual!$A$2:$BV$2,0))/1000</f>
        <v>78.903999999999996</v>
      </c>
      <c r="AA32" s="69" t="s">
        <v>172</v>
      </c>
      <c r="AB32" s="36">
        <f>+INDEX(Corp!$G$6:$AH$62,MATCH("Basic earnings per share",Corp!$I$6:$I$62,0),MATCH(E$2,Corp!$G$4:$AH$4,0))</f>
        <v>6.46</v>
      </c>
      <c r="AC32" s="36">
        <f>+INDEX(Corp!$G$6:$AH$62,MATCH("Basic earnings per share",Corp!$I$6:$I$62,0),MATCH(F$2,Corp!$G$4:$AH$4,0))</f>
        <v>5.41</v>
      </c>
    </row>
    <row r="33" spans="3:30" ht="15.6" thickTop="1" thickBot="1">
      <c r="I33" s="18" t="s">
        <v>526</v>
      </c>
      <c r="J33" s="30">
        <f>+INDEX(Manual!$A$25:$BV$44,MATCH("Issued policies",Manual!$B$25:$B$44,0),MATCH(_xlfn.CONCAT($I33,CHAR(10),J$29),Manual!$A$2:$BV$2,0))/1000</f>
        <v>84.561000000000007</v>
      </c>
      <c r="K33" s="30">
        <f>+INDEX(Manual!$A$25:$BV$44,MATCH("Issued policies",Manual!$B$25:$B$44,0),MATCH(_xlfn.CONCAT($I33,CHAR(10),K$29),Manual!$A$2:$BV$2,0))/1000</f>
        <v>86.587000000000003</v>
      </c>
      <c r="L33" s="30">
        <f>+INDEX(Manual!$A$25:$BV$44,MATCH("Issued policies",Manual!$B$25:$B$44,0),MATCH(_xlfn.CONCAT($I33,CHAR(10),L$29),Manual!$A$2:$BV$2,0))/1000</f>
        <v>86.415000000000006</v>
      </c>
      <c r="M33" s="30">
        <f>+INDEX(Manual!$A$25:$BV$44,MATCH("Issued policies",Manual!$B$25:$B$44,0),MATCH(_xlfn.CONCAT($I33,CHAR(10),M$29),Manual!$A$2:$BV$2,0))/1000</f>
        <v>74.054000000000002</v>
      </c>
      <c r="V33" s="1194" t="s">
        <v>578</v>
      </c>
      <c r="W33" s="1194"/>
      <c r="X33" s="1194"/>
      <c r="AA33" s="69" t="s">
        <v>178</v>
      </c>
      <c r="AB33" s="36">
        <f>+INDEX(Corp!$G$6:$AH$62,MATCH("Diluted earnings per share",Corp!$I$6:$I$62,0),MATCH(E$2,Corp!$G$4:$AH$4,0))</f>
        <v>6.45</v>
      </c>
      <c r="AC33" s="36">
        <f>+INDEX(Corp!$G$6:$AH$62,MATCH("Diluted earnings per share",Corp!$I$6:$I$62,0),MATCH(F$2,Corp!$G$4:$AH$4,0))</f>
        <v>5.4</v>
      </c>
    </row>
    <row r="34" spans="3:30" ht="15" thickTop="1">
      <c r="C34" s="58" t="s">
        <v>572</v>
      </c>
      <c r="D34" s="66"/>
      <c r="E34" s="21" t="str">
        <f>+_xlfn.CONCAT($A$1," ",$B$1)</f>
        <v>Q2 2026</v>
      </c>
      <c r="F34" s="21" t="str">
        <f>+_xlfn.CONCAT($A$1," ",$B$1-1)</f>
        <v>Q2 2025</v>
      </c>
      <c r="G34" s="21" t="s">
        <v>532</v>
      </c>
      <c r="I34" s="33" t="s">
        <v>570</v>
      </c>
      <c r="J34" s="34">
        <f>+SUM(J$30:J$33)</f>
        <v>358.86</v>
      </c>
      <c r="K34" s="34">
        <f>+SUM(K$30:K$33)</f>
        <v>370.39599999999996</v>
      </c>
      <c r="L34" s="34">
        <f>+SUM(L$30:L$33)</f>
        <v>331.78699999999998</v>
      </c>
      <c r="M34" s="34" t="str">
        <f>+IF(COUNTIF($M$30:$M$33,"&gt;0")=4,SUM($M$30:$M$33),"")</f>
        <v/>
      </c>
      <c r="AA34" t="s">
        <v>549</v>
      </c>
    </row>
    <row r="35" spans="3:30">
      <c r="D35" t="s">
        <v>277</v>
      </c>
      <c r="E35" s="25">
        <f>+INDEX('5yr'!$G$4:$AA$39,MATCH("Investment &amp; Savings product sales",'5yr'!$G$4:$G$39,0),MATCH(IR!E$2,'5yr'!$G$3:$AA$3,0))/1000</f>
        <v>4.3573219999999999</v>
      </c>
      <c r="F35" s="25">
        <f>+INDEX('5yr'!$G$4:$AA$39,MATCH("Investment &amp; Savings product sales",'5yr'!$G$4:$G$39,0),MATCH(IR!F$2,'5yr'!$G$3:$AA$3,0))/1000</f>
        <v>3.5483720000000001</v>
      </c>
      <c r="G35" s="23">
        <f t="shared" ref="G35:G37" si="7">+E35/F35-1</f>
        <v>0.22797778812368041</v>
      </c>
      <c r="W35" s="39" t="str">
        <f>+_xlfn.CONCAT(CHOOSE(RIGHT($A$1,1),"March 31","June 30","September 30","December 31"),", ",$B$1)</f>
        <v>June 30, 2026</v>
      </c>
      <c r="X35" s="39" t="str">
        <f>+_xlfn.CONCAT("December 31, ",B1-1)</f>
        <v>December 31, 2025</v>
      </c>
      <c r="AA35" s="3" t="s">
        <v>579</v>
      </c>
    </row>
    <row r="36" spans="3:30">
      <c r="D36" t="s">
        <v>576</v>
      </c>
      <c r="E36" s="25">
        <f>+INDEX('ISP 2'!$G$5:$AH$52,MATCH("Client asset values, end of period",'ISP 2'!$H$5:$H$52,0),MATCH(IR!E$2,'ISP 2'!$G$4:$AH$4,0))/1000</f>
        <v>140.041606</v>
      </c>
      <c r="F36" s="25">
        <f>+INDEX('ISP 2'!$G$5:$AH$52,MATCH("Client asset values, end of period",'ISP 2'!$H$5:$H$52,0),MATCH(IR!F$2,'ISP 2'!$G$4:$AH$4,0))/1000</f>
        <v>120.22448899999999</v>
      </c>
      <c r="G36" s="23">
        <f t="shared" si="7"/>
        <v>0.16483427931226236</v>
      </c>
      <c r="J36" s="1199" t="s">
        <v>572</v>
      </c>
      <c r="K36" s="1199"/>
      <c r="L36" s="1199"/>
      <c r="M36" s="1199"/>
      <c r="O36" s="1199" t="s">
        <v>573</v>
      </c>
      <c r="P36" s="1199"/>
      <c r="Q36" s="1199"/>
      <c r="R36" s="1199"/>
      <c r="V36" s="3" t="s">
        <v>581</v>
      </c>
      <c r="AA36" s="3" t="s">
        <v>582</v>
      </c>
    </row>
    <row r="37" spans="3:30" ht="15" thickBot="1">
      <c r="D37" t="s">
        <v>577</v>
      </c>
      <c r="E37" s="25">
        <f>+INDEX('5yr'!$G$4:$AA$39,MATCH("Investment &amp; Savings average client asset values",'5yr'!$G$4:$G$39,0),MATCH(IR!E$2,'5yr'!$G$3:$AA$3,0))/1000</f>
        <v>135.54969</v>
      </c>
      <c r="F37" s="25">
        <f>+INDEX('5yr'!$G$4:$AA$39,MATCH("Investment &amp; Savings average client asset values",'5yr'!$G$4:$G$39,0),MATCH(IR!F$2,'5yr'!$G$3:$AA$3,0))/1000</f>
        <v>113.975309</v>
      </c>
      <c r="G37" s="23">
        <f t="shared" si="7"/>
        <v>0.18928995401977811</v>
      </c>
      <c r="J37" s="21">
        <f>+K$29-1</f>
        <v>2023</v>
      </c>
      <c r="K37" s="21">
        <f>+L$29-1</f>
        <v>2024</v>
      </c>
      <c r="L37" s="21">
        <f>+M$29-1</f>
        <v>2025</v>
      </c>
      <c r="M37" s="21">
        <f>+$B$1</f>
        <v>2026</v>
      </c>
      <c r="O37" s="21">
        <f t="shared" ref="O37:P37" si="8">+P$37-1</f>
        <v>2023</v>
      </c>
      <c r="P37" s="21">
        <f t="shared" si="8"/>
        <v>2024</v>
      </c>
      <c r="Q37" s="21">
        <f>+R$37-1</f>
        <v>2025</v>
      </c>
      <c r="R37" s="21">
        <f>+$B$1</f>
        <v>2026</v>
      </c>
      <c r="V37" s="69" t="s">
        <v>583</v>
      </c>
      <c r="AA37" s="69" t="s">
        <v>584</v>
      </c>
      <c r="AB37" s="40">
        <f>+INDEX(Corp!$G$6:$AH$62,MATCH("Weighted-average common shares and fully vested equity awards",Corp!$H$6:$H$62,0),MATCH(E$2,Corp!$G$4:$AH$4,0))/1000</f>
        <v>31195.871999999999</v>
      </c>
      <c r="AC37" s="40">
        <f>+INDEX(Corp!$G$6:$AH$62,MATCH("Weighted-average common shares and fully vested equity awards",Corp!$H$6:$H$62,0),MATCH(F$2,Corp!$G$4:$AH$4,0))/1000</f>
        <v>32870.061000000002</v>
      </c>
    </row>
    <row r="38" spans="3:30" ht="15.6" thickTop="1" thickBot="1">
      <c r="D38" t="s">
        <v>550</v>
      </c>
      <c r="I38" s="18" t="s">
        <v>525</v>
      </c>
      <c r="J38" s="35">
        <f>+INDEX(Manual!$A$45:$BV$56,MATCH("Total",Manual!$D$45:$D$56,0),MATCH(_xlfn.CONCAT($I38,CHAR(10),J$37),Manual!$A$2:$BV$2,0))/1000</f>
        <v>2.3559359999999998</v>
      </c>
      <c r="K38" s="35">
        <f>+INDEX(Manual!$A$45:$BV$56,MATCH("Total",Manual!$D$45:$D$56,0),MATCH(_xlfn.CONCAT($I38,CHAR(10),K$37),Manual!$A$2:$BV$2,0))/1000</f>
        <v>3.3205279999999999</v>
      </c>
      <c r="L38" s="35">
        <f>+INDEX(Manual!$A$45:$BV$56,MATCH("Total",Manual!$D$45:$D$56,0),MATCH(_xlfn.CONCAT($I38,CHAR(10),L$37),Manual!$A$2:$BV$2,0))/1000</f>
        <v>4.1105529999999995</v>
      </c>
      <c r="M38" s="35">
        <f>+INDEX(Manual!$A$45:$BV$56,MATCH("Total",Manual!$D$45:$D$56,0),MATCH(_xlfn.CONCAT($I38,CHAR(10),M$37),Manual!$A$2:$BV$2,0))/1000</f>
        <v>0</v>
      </c>
      <c r="O38" s="71">
        <f>+INDEX('5yr'!$G$4:$AA$39,MATCH("Investment &amp; Savings average client asset values",'5yr'!$G$4:$G$39,0),MATCH(IR!J$3,'5yr'!$G$3:$AA$3,0))/1000</f>
        <v>89.473638749999992</v>
      </c>
      <c r="P38" s="71">
        <f>+INDEX('5yr'!$G$4:$AA$39,MATCH("Investment &amp; Savings average client asset values",'5yr'!$G$4:$G$39,0),MATCH(IR!K$3,'5yr'!$G$3:$AA$3,0))/1000</f>
        <v>105.7424585</v>
      </c>
      <c r="Q38" s="71">
        <f>+INDEX('5yr'!$G$4:$AA$39,MATCH("Investment &amp; Savings average client asset values",'5yr'!$G$4:$G$39,0),MATCH(IR!L$3,'5yr'!$G$3:$AA$3,0))/1000</f>
        <v>119.57123025000001</v>
      </c>
      <c r="R38" s="71">
        <f>+IFERROR(INDEX('5yr'!$G$4:$AA$39,MATCH("Investment &amp; Savings average client asset values",'5yr'!$G$4:$G$39,0),MATCH(IR!M$3,'5yr'!$G$3:$AA$3,0))/1000,E37)</f>
        <v>135.54969</v>
      </c>
      <c r="V38" s="70" t="s">
        <v>586</v>
      </c>
      <c r="W38" s="1201" t="s">
        <v>587</v>
      </c>
      <c r="X38" s="1201"/>
      <c r="AA38" s="69" t="s">
        <v>588</v>
      </c>
      <c r="AB38" s="40">
        <f>+INDEX(Corp!$G$6:$AH$62,MATCH("Shares used to calculate diluted EPS",Corp!$I$6:$I$62,0),MATCH(E$2,Corp!$G$4:$AH$4,0))/1000</f>
        <v>31236.574000000001</v>
      </c>
      <c r="AC38" s="40">
        <f>+INDEX(Corp!$G$6:$AH$62,MATCH("Shares used to calculate diluted EPS",Corp!$I$6:$I$62,0),MATCH(F$2,Corp!$G$4:$AH$4,0))/1000</f>
        <v>32911.413</v>
      </c>
    </row>
    <row r="39" spans="3:30" ht="15" thickTop="1">
      <c r="I39" s="18" t="s">
        <v>528</v>
      </c>
      <c r="J39" s="35">
        <f>+INDEX(Manual!$A$45:$BV$56,MATCH("Total",Manual!$D$45:$D$56,0),MATCH(_xlfn.CONCAT($I39,CHAR(10),J$37),Manual!$A$2:$BV$2,0))/1000</f>
        <v>2.1741830000000002</v>
      </c>
      <c r="K39" s="35">
        <f>+INDEX(Manual!$A$45:$BV$56,MATCH("Total",Manual!$D$45:$D$56,0),MATCH(_xlfn.CONCAT($I39,CHAR(10),K$37),Manual!$A$2:$BV$2,0))/1000</f>
        <v>2.9051200000000001</v>
      </c>
      <c r="L39" s="35">
        <f>+INDEX(Manual!$A$45:$BV$56,MATCH("Total",Manual!$D$45:$D$56,0),MATCH(_xlfn.CONCAT($I39,CHAR(10),L$37),Manual!$A$2:$BV$2,0))/1000</f>
        <v>3.7119100000000005</v>
      </c>
      <c r="M39" s="35">
        <f>+INDEX(Manual!$A$45:$BV$56,MATCH("Total",Manual!$D$45:$D$56,0),MATCH(_xlfn.CONCAT($I39,CHAR(10),M$37),Manual!$A$2:$BV$2,0))/1000</f>
        <v>0</v>
      </c>
      <c r="V39" s="70" t="s">
        <v>590</v>
      </c>
      <c r="W39" s="1201"/>
      <c r="X39" s="1201"/>
    </row>
    <row r="40" spans="3:30">
      <c r="C40" s="58" t="s">
        <v>580</v>
      </c>
      <c r="D40" s="66"/>
      <c r="E40" s="21" t="str">
        <f>+_xlfn.CONCAT($A$1," ",$B$1)</f>
        <v>Q2 2026</v>
      </c>
      <c r="F40" s="21" t="str">
        <f>+_xlfn.CONCAT($A$1," ",$B$1-1)</f>
        <v>Q2 2025</v>
      </c>
      <c r="G40" s="21" t="s">
        <v>532</v>
      </c>
      <c r="I40" s="18" t="s">
        <v>527</v>
      </c>
      <c r="J40" s="35">
        <f>+INDEX(Manual!$A$45:$BV$56,MATCH("Total",Manual!$D$45:$D$56,0),MATCH(_xlfn.CONCAT($I40,CHAR(10),J$37),Manual!$A$2:$BV$2,0))/1000</f>
        <v>2.3816110000000004</v>
      </c>
      <c r="K40" s="35">
        <f>+INDEX(Manual!$A$45:$BV$56,MATCH("Total",Manual!$D$45:$D$56,0),MATCH(_xlfn.CONCAT($I40,CHAR(10),K$37),Manual!$A$2:$BV$2,0))/1000</f>
        <v>3.082945</v>
      </c>
      <c r="L40" s="35">
        <f>+INDEX(Manual!$A$45:$BV$56,MATCH("Total",Manual!$D$45:$D$56,0),MATCH(_xlfn.CONCAT($I40,CHAR(10),L$37),Manual!$A$2:$BV$2,0))/1000</f>
        <v>3.5483720000000001</v>
      </c>
      <c r="M40" s="35">
        <f>+INDEX(Manual!$A$45:$BV$56,MATCH("Total",Manual!$D$45:$D$56,0),MATCH(_xlfn.CONCAT($I40,CHAR(10),M$37),Manual!$A$2:$BV$2,0))/1000</f>
        <v>4.3573219999999999</v>
      </c>
      <c r="V40" s="70" t="s">
        <v>592</v>
      </c>
      <c r="W40" s="1201"/>
      <c r="X40" s="1201"/>
    </row>
    <row r="41" spans="3:30">
      <c r="D41" t="s">
        <v>95</v>
      </c>
      <c r="E41" s="72">
        <f>+INDEX('Term 1'!$G$5:$AH$43,MATCH("Direct premiums",'Term 1'!$H$5:$H$43,0),MATCH(IR!E$2,'Term 1'!$G$4:$AH$4,0))/1000</f>
        <v>873.6043120580465</v>
      </c>
      <c r="F41" s="72">
        <f>+INDEX('Term 1'!$G$5:$AH$43,MATCH("Direct premiums",'Term 1'!$H$5:$H$43,0),MATCH(IR!F$2,'Term 1'!$G$4:$AH$4,0))/1000</f>
        <v>861.91909492307695</v>
      </c>
      <c r="G41" s="23">
        <f t="shared" ref="G41:G45" si="9">+E41/F41-1</f>
        <v>1.3557208795812015E-2</v>
      </c>
      <c r="I41" s="37" t="s">
        <v>526</v>
      </c>
      <c r="J41" s="38">
        <f>+INDEX(Manual!$A$45:$BV$56,MATCH("Total",Manual!$D$45:$D$56,0),MATCH(_xlfn.CONCAT($I41,CHAR(10),J$37),Manual!$A$2:$BV$2,0))/1000</f>
        <v>2.2999839999999998</v>
      </c>
      <c r="K41" s="38">
        <f>+INDEX(Manual!$A$45:$BV$56,MATCH("Total",Manual!$D$45:$D$56,0),MATCH(_xlfn.CONCAT($I41,CHAR(10),K$37),Manual!$A$2:$BV$2,0))/1000</f>
        <v>2.7703500000000001</v>
      </c>
      <c r="L41" s="38">
        <f>+INDEX(Manual!$A$45:$BV$56,MATCH("Total",Manual!$D$45:$D$56,0),MATCH(_xlfn.CONCAT($I41,CHAR(10),L$37),Manual!$A$2:$BV$2,0))/1000</f>
        <v>3.5593489999999997</v>
      </c>
      <c r="M41" s="38">
        <f>+INDEX(Manual!$A$45:$BV$56,MATCH("Total",Manual!$D$45:$D$56,0),MATCH(_xlfn.CONCAT($I41,CHAR(10),M$37),Manual!$A$2:$BV$2,0))/1000</f>
        <v>4.3317629999999996</v>
      </c>
      <c r="V41" s="70" t="s">
        <v>594</v>
      </c>
      <c r="W41" s="1201"/>
      <c r="X41" s="1201"/>
      <c r="AA41" s="1194" t="s">
        <v>595</v>
      </c>
      <c r="AB41" s="1194"/>
      <c r="AC41" s="1194"/>
      <c r="AD41" s="37"/>
    </row>
    <row r="42" spans="3:30">
      <c r="D42" t="s">
        <v>585</v>
      </c>
      <c r="E42" s="80">
        <f>+INDEX('Term 1'!$G$5:$AH$43,MATCH("Premiums ceded to IPO coinsurers (1)",'Term 1'!$H$5:$H$43,0),MATCH(IR!E$2,'Term 1'!$G$4:$AH$4,0))/1000</f>
        <v>-176.76637789732899</v>
      </c>
      <c r="F42" s="80">
        <f>+INDEX('Term 1'!$G$5:$AH$43,MATCH("Premiums ceded to IPO coinsurers (1)",'Term 1'!$H$5:$H$43,0),MATCH(IR!F$2,'Term 1'!$G$4:$AH$4,0))/1000</f>
        <v>-187.98811701013798</v>
      </c>
      <c r="G42" s="23">
        <f t="shared" si="9"/>
        <v>-5.9693874758072196E-2</v>
      </c>
      <c r="I42" s="18" t="s">
        <v>570</v>
      </c>
      <c r="J42" s="71">
        <f>+SUM(J$38:J$41)</f>
        <v>9.2117140000000006</v>
      </c>
      <c r="K42" s="71">
        <f t="shared" ref="K42:L42" si="10">+SUM(K$38:K$41)</f>
        <v>12.078943000000001</v>
      </c>
      <c r="L42" s="71">
        <f t="shared" si="10"/>
        <v>14.930183999999999</v>
      </c>
      <c r="M42" s="71">
        <f>+SUMIF(M38:M41,"&gt;0",M38:M41)</f>
        <v>8.6890849999999986</v>
      </c>
      <c r="V42" s="70" t="s">
        <v>596</v>
      </c>
      <c r="W42" s="1201"/>
      <c r="X42" s="1201"/>
    </row>
    <row r="43" spans="3:30">
      <c r="D43" t="s">
        <v>589</v>
      </c>
      <c r="E43" s="80">
        <f>+INDEX('Term 1'!$G$5:$AH$43,MATCH("Adjusted direct premiums (2)",'Term 1'!$H$5:$H$43,0),MATCH(IR!E$2,'Term 1'!$G$4:$AH$4,0))/1000</f>
        <v>696.83793416071751</v>
      </c>
      <c r="F43" s="80">
        <f>+INDEX('Term 1'!$G$5:$AH$43,MATCH("Adjusted direct premiums (2)",'Term 1'!$H$5:$H$43,0),MATCH(IR!F$2,'Term 1'!$G$4:$AH$4,0))/1000</f>
        <v>673.93097791293894</v>
      </c>
      <c r="G43" s="23">
        <f t="shared" si="9"/>
        <v>3.3990062778710417E-2</v>
      </c>
      <c r="I43" s="18"/>
      <c r="V43" s="70" t="s">
        <v>598</v>
      </c>
      <c r="W43" s="1201"/>
      <c r="X43" s="1201"/>
      <c r="AB43" s="3" t="str">
        <f>+_xlfn.CONCAT(CHOOSE(RIGHT($A$1,1),"March 31","June 30","September 30","December 31"),", ",$B$1)</f>
        <v>June 30, 2026</v>
      </c>
      <c r="AC43" s="3" t="str">
        <f>+_xlfn.CONCAT(CHOOSE(RIGHT($A$1,1),"March 31","June 30","September 30","December 31"),", ",$B$1-1)</f>
        <v>June 30, 2025</v>
      </c>
      <c r="AD43" s="3" t="s">
        <v>532</v>
      </c>
    </row>
    <row r="44" spans="3:30">
      <c r="D44" t="s">
        <v>591</v>
      </c>
      <c r="E44" s="80">
        <f>+INDEX('Term 1'!$G$5:$AH$43,MATCH("Revenues",'Term 1'!$H$5:$H$43,0),MATCH(IR!E$2,'Term 1'!$G$4:$AH$4,0))/1000</f>
        <v>443.60622183341593</v>
      </c>
      <c r="F44" s="80">
        <f>+INDEX('Term 1'!$G$5:$AH$43,MATCH("Revenues",'Term 1'!$H$5:$H$43,0),MATCH(IR!F$2,'Term 1'!$G$4:$AH$4,0))/1000</f>
        <v>441.83391177020349</v>
      </c>
      <c r="G44" s="23">
        <f t="shared" si="9"/>
        <v>4.0112585657168243E-3</v>
      </c>
      <c r="V44" s="75" t="s">
        <v>600</v>
      </c>
      <c r="W44" s="1201"/>
      <c r="X44" s="1201"/>
      <c r="AA44" t="s">
        <v>161</v>
      </c>
      <c r="AB44" s="24">
        <f>+AB$15</f>
        <v>865066.18036519911</v>
      </c>
      <c r="AC44" s="24">
        <f>+AC$15</f>
        <v>793334.03889380477</v>
      </c>
      <c r="AD44" s="23">
        <f>+AB44/AC44-1</f>
        <v>9.0418585305396704E-2</v>
      </c>
    </row>
    <row r="45" spans="3:30">
      <c r="D45" t="s">
        <v>593</v>
      </c>
      <c r="E45" s="80">
        <f>+INDEX('Term 1'!$G$5:$AH$43,MATCH("Income before income taxes",'Term 1'!$H$5:$H$43,0),MATCH(IR!E$2,'Term 1'!$G$4:$AH$4,0))/1000</f>
        <v>148.48041131150794</v>
      </c>
      <c r="F45" s="80">
        <f>+INDEX('Term 1'!$G$5:$AH$43,MATCH("Income before income taxes",'Term 1'!$H$5:$H$43,0),MATCH(IR!F$2,'Term 1'!$G$4:$AH$4,0))/1000</f>
        <v>155.01243699340719</v>
      </c>
      <c r="G45" s="23">
        <f t="shared" si="9"/>
        <v>-4.2138720018814135E-2</v>
      </c>
      <c r="V45" s="70" t="s">
        <v>602</v>
      </c>
      <c r="W45" s="1201"/>
      <c r="X45" s="1201"/>
      <c r="AA45" t="s">
        <v>603</v>
      </c>
      <c r="AB45" s="68">
        <f>+AB$13</f>
        <v>1690.7668738471536</v>
      </c>
      <c r="AC45" s="68">
        <f>+AC$13</f>
        <v>-2865.960541993572</v>
      </c>
    </row>
    <row r="46" spans="3:30">
      <c r="V46" s="99" t="s">
        <v>4</v>
      </c>
      <c r="W46" s="100">
        <f>+INDEX(BS!$G$6:$W$61,MATCH(IR!$V$46,BS!$J$6:$J$61,0),MATCH(IR!E$3,BS!$G$4:$W$4,0))</f>
        <v>5332711.766529954</v>
      </c>
      <c r="X46" s="100">
        <f>+INDEX(BS!$G$6:$W$61,MATCH(IR!$V$46,BS!$J$6:$J$61,0),MATCH(IR!I$3,BS!$G$4:$W$4,0))</f>
        <v>5292321.091646038</v>
      </c>
      <c r="AA46" t="s">
        <v>605</v>
      </c>
      <c r="AB46" s="81">
        <f>+INDEX(Recon!$G$6:$AH$46,MATCH("Less: MTM investment adjustments",Recon!$H$6:$H$46,0),MATCH(IR!E$2,Recon!$G$4:$AH$4,0))</f>
        <v>0</v>
      </c>
      <c r="AC46" s="81">
        <f>+INDEX(Recon!$G$6:$AH$46,MATCH("Less: MTM investment adjustments",Recon!$H$6:$H$46,0),MATCH(IR!F$2,Recon!$G$4:$AH$4,0))</f>
        <v>181.86385999999999</v>
      </c>
    </row>
    <row r="47" spans="3:30" ht="15" thickBot="1">
      <c r="C47" s="58" t="s">
        <v>597</v>
      </c>
      <c r="D47" s="66"/>
      <c r="E47" s="21" t="str">
        <f>+_xlfn.CONCAT($A$1," ",$B$1)</f>
        <v>Q2 2026</v>
      </c>
      <c r="F47" s="21" t="str">
        <f>+_xlfn.CONCAT($A$1," ",$B$1-1)</f>
        <v>Q2 2025</v>
      </c>
      <c r="G47" s="64"/>
      <c r="V47" s="70" t="s">
        <v>607</v>
      </c>
      <c r="W47" s="1200" t="s">
        <v>608</v>
      </c>
      <c r="X47" s="1200"/>
      <c r="AA47" s="75" t="s">
        <v>163</v>
      </c>
      <c r="AB47" s="32">
        <f>+AB44-AB45-AB46</f>
        <v>863375.413491352</v>
      </c>
      <c r="AC47" s="32">
        <f>+AC44-AC45-AC46</f>
        <v>796018.13557579834</v>
      </c>
      <c r="AD47" s="23">
        <f>+AB47/AC47-1</f>
        <v>8.461776799448284E-2</v>
      </c>
    </row>
    <row r="48" spans="3:30" ht="15" thickTop="1">
      <c r="D48" t="s">
        <v>599</v>
      </c>
      <c r="E48" s="28">
        <f>+INDEX('Term 1'!$G$5:$AH$43,MATCH("Benefits and claims, net (6)",'Term 1'!$H$5:$H$43,0),MATCH(IR!E$2,'Term 1'!$G$4:$AH$4,0))/1000/E43</f>
        <v>0.57946115759602823</v>
      </c>
      <c r="F48" s="28">
        <f>+INDEX('Term 1'!$G$5:$AH$43,MATCH("Benefits and claims, net (6)",'Term 1'!$H$5:$H$43,0),MATCH(IR!F$2,'Term 1'!$G$4:$AH$4,0))/1000/F43</f>
        <v>0.57468788914698776</v>
      </c>
      <c r="V48" s="70" t="s">
        <v>609</v>
      </c>
      <c r="W48" s="41">
        <f>+INDEX(BS!$G$6:$W$61,MATCH(V48,BS!$H$6:$H$61,0),MATCH(IR!E$3,BS!$G$4:$W$4,0))</f>
        <v>2450744.9989815657</v>
      </c>
      <c r="X48" s="41">
        <f>+INDEX(BS!$G$6:$W$61,MATCH(V48,BS!$H$6:$H$61,0),MATCH(IR!I$3,BS!$G$4:$W$4,0))</f>
        <v>2564952.2532418841</v>
      </c>
      <c r="AA48" t="s">
        <v>549</v>
      </c>
    </row>
    <row r="49" spans="3:30" ht="15" customHeight="1">
      <c r="D49" t="s">
        <v>601</v>
      </c>
      <c r="E49" s="28">
        <f>+INDEX('Term 1'!$G$5:$AH$43,MATCH("DAC amortization &amp; insurance commissions",'Term 1'!$H$5:$H$43,0),MATCH(IR!E$2,'Term 1'!$G$4:$AH$4,0))/1000/E43</f>
        <v>0.12311323346106443</v>
      </c>
      <c r="F49" s="28">
        <f>+INDEX('Term 1'!$G$5:$AH$43,MATCH("DAC amortization &amp; insurance commissions",'Term 1'!$H$5:$H$43,0),MATCH(IR!F$2,'Term 1'!$G$4:$AH$4,0))/1000/F43</f>
        <v>0.11963244245066185</v>
      </c>
      <c r="V49" s="70" t="s">
        <v>611</v>
      </c>
      <c r="W49" s="41">
        <f>+INDEX(BS!$G$6:$W$61,MATCH("Deferred policy acquisition costs",BS!$H$6:$H$61,0),MATCH(IR!E$3,BS!$G$4:$W$4,0))</f>
        <v>3991485.5869244155</v>
      </c>
      <c r="X49" s="41">
        <f>+INDEX(BS!$G$6:$W$61,MATCH("Deferred policy acquisition costs",BS!$H$6:$H$61,0),MATCH(IR!I$3,BS!$G$4:$W$4,0))</f>
        <v>3915998.4020114345</v>
      </c>
      <c r="AA49" t="s">
        <v>113</v>
      </c>
      <c r="AB49" s="24">
        <f>+AB$27</f>
        <v>258218.98864944035</v>
      </c>
      <c r="AC49" s="24">
        <f>+AC$27</f>
        <v>234496.49775596522</v>
      </c>
      <c r="AD49" s="23">
        <f>+AB49/AC49-1</f>
        <v>0.10116351894586728</v>
      </c>
    </row>
    <row r="50" spans="3:30">
      <c r="D50" t="s">
        <v>604</v>
      </c>
      <c r="E50" s="28">
        <f>+INDEX('Term 1'!$G$5:$AH$43,MATCH("Insurance expenses, net (7)",'Term 1'!$H$5:$H$43,0),MATCH(IR!E$2,'Term 1'!$G$4:$AH$4,0))/1000/E43</f>
        <v>8.4348214569508251E-2</v>
      </c>
      <c r="F50" s="28">
        <f>+INDEX('Term 1'!$G$5:$AH$43,MATCH("Insurance expenses, net (7)",'Term 1'!$H$5:$H$43,0),MATCH(IR!F$2,'Term 1'!$G$4:$AH$4,0))/1000/F43</f>
        <v>7.5667334686133778E-2</v>
      </c>
      <c r="V50" s="70" t="s">
        <v>6</v>
      </c>
      <c r="W50" s="41" t="e">
        <f>+INDEX(BS!$G$6:$W$61,MATCH("Goodwill",BS!$H$6:$H$61,0),MATCH(IR!E$3,BS!$G$4:$W$4,0))</f>
        <v>#N/A</v>
      </c>
      <c r="X50" s="41" t="e">
        <f>+INDEX(BS!$G$6:$W$61,MATCH("Goodwill",BS!$H$6:$H$61,0),MATCH(IR!I$3,BS!$G$4:$W$4,0))</f>
        <v>#N/A</v>
      </c>
      <c r="AA50" t="s">
        <v>603</v>
      </c>
      <c r="AB50" s="68">
        <f>+AB$13</f>
        <v>1690.7668738471536</v>
      </c>
      <c r="AC50" s="68">
        <f>+AC$13</f>
        <v>-2865.960541993572</v>
      </c>
    </row>
    <row r="51" spans="3:30">
      <c r="D51" t="s">
        <v>606</v>
      </c>
      <c r="E51" s="28">
        <f>+INDEX('Term 1'!$G$5:$AH$43,MATCH("Total Term Life income before income taxes",'Term 1'!$H$5:$H$43,0),MATCH(IR!E$2,'Term 1'!$G$4:$AH$4,0))/1000/E43</f>
        <v>0.21307739437339912</v>
      </c>
      <c r="F51" s="28">
        <f>+INDEX('Term 1'!$G$5:$AH$43,MATCH("Total Term Life income before income taxes",'Term 1'!$H$5:$H$43,0),MATCH(IR!F$2,'Term 1'!$G$4:$AH$4,0))/1000/F43</f>
        <v>0.23001233371621671</v>
      </c>
      <c r="V51" s="70" t="s">
        <v>614</v>
      </c>
      <c r="W51" s="1202" t="s">
        <v>608</v>
      </c>
      <c r="X51" s="1202"/>
      <c r="AA51" t="s">
        <v>605</v>
      </c>
      <c r="AB51" s="68">
        <f>+INDEX(Recon!$G$6:$AH$46,MATCH("Less: MTM investment adjustments",Recon!$H$6:$H$46,0),MATCH(IR!E$2,Recon!$G$4:$AH$4,0))</f>
        <v>0</v>
      </c>
      <c r="AC51" s="68">
        <f>+INDEX(Recon!$G$6:$AH$46,MATCH("Less: MTM investment adjustments",Recon!$H$6:$H$46,0),MATCH(IR!F$2,Recon!$G$4:$AH$4,0))</f>
        <v>181.86385999999999</v>
      </c>
      <c r="AD51" s="90"/>
    </row>
    <row r="52" spans="3:30" ht="15" thickBot="1">
      <c r="V52" s="70" t="s">
        <v>616</v>
      </c>
      <c r="W52" s="1202"/>
      <c r="X52" s="1202"/>
      <c r="AA52" s="75" t="s">
        <v>164</v>
      </c>
      <c r="AB52" s="32">
        <f>+AB49-SUM(AB50:AB51)</f>
        <v>256528.22177559321</v>
      </c>
      <c r="AC52" s="32">
        <f>+AC49-SUM(AC50:AC51)</f>
        <v>237180.59443795879</v>
      </c>
      <c r="AD52" s="23">
        <f>+AB52/AC52-1</f>
        <v>8.1573399305630456E-2</v>
      </c>
    </row>
    <row r="53" spans="3:30" ht="15" thickTop="1">
      <c r="C53" s="58" t="s">
        <v>610</v>
      </c>
      <c r="D53" s="66"/>
      <c r="E53" s="21" t="str">
        <f>+_xlfn.CONCAT($A$1," ",$B$1)</f>
        <v>Q2 2026</v>
      </c>
      <c r="F53" s="21" t="str">
        <f>+_xlfn.CONCAT($A$1," ",$B$1-1)</f>
        <v>Q2 2025</v>
      </c>
      <c r="G53" s="21" t="s">
        <v>532</v>
      </c>
      <c r="V53" s="70" t="s">
        <v>13</v>
      </c>
      <c r="W53" s="1202"/>
      <c r="X53" s="1202"/>
      <c r="AA53" t="s">
        <v>549</v>
      </c>
    </row>
    <row r="54" spans="3:30">
      <c r="D54" t="s">
        <v>612</v>
      </c>
      <c r="E54" s="72">
        <f>+INDEX('ISP 1'!$G$5:$AH$13,MATCH("Sales-based",'ISP 1'!$H$5:$H$13,0),MATCH(IR!E$2,'ISP 1'!$G$4:$AH$4,0))/1000</f>
        <v>135.50910549501407</v>
      </c>
      <c r="F54" s="72">
        <f>+INDEX('ISP 1'!$G$5:$AH$13,MATCH("Sales-based",'ISP 1'!$H$5:$H$13,0),MATCH(IR!F$2,'ISP 1'!$G$4:$AH$4,0))/1000</f>
        <v>115.93333368721512</v>
      </c>
      <c r="G54" s="23">
        <f t="shared" ref="G54:G60" si="11">+E54/F54-1</f>
        <v>0.16885369535403716</v>
      </c>
      <c r="V54" s="70" t="s">
        <v>618</v>
      </c>
      <c r="W54" s="1202"/>
      <c r="X54" s="1202"/>
      <c r="AA54" t="s">
        <v>872</v>
      </c>
      <c r="AB54" s="24">
        <f>+AB$29</f>
        <v>202278.2967566647</v>
      </c>
      <c r="AC54" s="24">
        <f>+AC$29</f>
        <v>178343.55839110183</v>
      </c>
      <c r="AD54" s="23">
        <f>+AB54/AC54-1</f>
        <v>0.13420579123511001</v>
      </c>
    </row>
    <row r="55" spans="3:30">
      <c r="D55" t="s">
        <v>613</v>
      </c>
      <c r="E55" s="72">
        <f>+INDEX('ISP 1'!$G$5:$AH$13,MATCH("Asset-based",'ISP 1'!$H$5:$H$13,0),MATCH(IR!E$2,'ISP 1'!$G$4:$AH$4,0))/1000</f>
        <v>197.59841666312198</v>
      </c>
      <c r="F55" s="72">
        <f>+INDEX('ISP 1'!$G$5:$AH$13,MATCH("Asset-based",'ISP 1'!$H$5:$H$13,0),MATCH(IR!F$2,'ISP 1'!$G$4:$AH$4,0))/1000</f>
        <v>154.73458171857041</v>
      </c>
      <c r="G55" s="23">
        <f t="shared" si="11"/>
        <v>0.27701522483520757</v>
      </c>
      <c r="V55" s="101" t="s">
        <v>7</v>
      </c>
      <c r="W55" s="102">
        <f>+INDEX(BS!$G$6:$W$61,MATCH("Other Assets",BS!$H$6:$H$61,0),MATCH(IR!E$3,BS!$G$4:$W$4,0))</f>
        <v>850498.47904787608</v>
      </c>
      <c r="X55" s="102">
        <f>+INDEX(BS!$G$6:$W$61,MATCH("Other Assets",BS!$H$6:$H$61,0),MATCH(IR!I$3,BS!$G$4:$W$4,0))</f>
        <v>957543.7219245279</v>
      </c>
      <c r="AA55" t="s">
        <v>603</v>
      </c>
      <c r="AB55" s="68">
        <f>+AB$13</f>
        <v>1690.7668738471536</v>
      </c>
      <c r="AC55" s="68">
        <f>+AC$13</f>
        <v>-2865.960541993572</v>
      </c>
    </row>
    <row r="56" spans="3:30">
      <c r="D56" t="s">
        <v>615</v>
      </c>
      <c r="E56" s="72">
        <f>+INDEX('ISP 1'!$G$5:$AH$13,MATCH("Account-based",'ISP 1'!$H$5:$H$13,0),MATCH(IR!E$2,'ISP 1'!$G$4:$AH$4,0))/1000</f>
        <v>24.118351420000003</v>
      </c>
      <c r="F56" s="72">
        <f>+INDEX('ISP 1'!$G$5:$AH$13,MATCH("Account-based",'ISP 1'!$H$5:$H$13,0),MATCH(IR!F$2,'ISP 1'!$G$4:$AH$4,0))/1000</f>
        <v>24.393521310000001</v>
      </c>
      <c r="G56" s="23">
        <f t="shared" si="11"/>
        <v>-1.1280449694124006E-2</v>
      </c>
      <c r="V56" s="70" t="s">
        <v>8</v>
      </c>
      <c r="W56" s="41">
        <f>+INDEX(BS!$G$6:$W$61,MATCH("Separate account assets",BS!$H$6:$H$61,0),MATCH(IR!E$3,BS!$G$4:$W$4,0))</f>
        <v>2156498.4397324394</v>
      </c>
      <c r="X56" s="41">
        <f>+INDEX(BS!$G$6:$W$61,MATCH("Separate account assets",BS!$H$6:$H$61,0),MATCH(IR!I$3,BS!$G$4:$W$4,0))</f>
        <v>2281520.4052366395</v>
      </c>
      <c r="Y56" s="18"/>
      <c r="AA56" t="s">
        <v>605</v>
      </c>
      <c r="AB56" s="68">
        <f>+INDEX(Recon!$G$39:$AH$44,MATCH("Less: MTM investment adjustments",Recon!$H$39:$H$44,0),MATCH(IR!E$2,Recon!$G$4:$AH$4,0))</f>
        <v>0</v>
      </c>
      <c r="AC56" s="68">
        <f>+INDEX(Recon!$G$39:$AH$44,MATCH("Less: MTM investment adjustments",Recon!$H$39:$H$44,0),MATCH(IR!F$2,Recon!$G$4:$AH$4,0))</f>
        <v>181.86385999999999</v>
      </c>
    </row>
    <row r="57" spans="3:30" ht="15" thickBot="1">
      <c r="D57" t="s">
        <v>35</v>
      </c>
      <c r="E57" s="72">
        <f>+INDEX('ISP 1'!$G$5:$AH$13,MATCH("Other, net",'ISP 1'!$H$5:$H$13,0),MATCH(IR!E$2,'ISP 1'!$G$4:$AH$4,0))/1000</f>
        <v>3.2928897981625904</v>
      </c>
      <c r="F57" s="72">
        <f>+INDEX('ISP 1'!$G$5:$AH$13,MATCH("Other, net",'ISP 1'!$H$5:$H$13,0),MATCH(IR!F$2,'ISP 1'!$G$4:$AH$4,0))/1000</f>
        <v>3.2355490692224729</v>
      </c>
      <c r="G57" s="23">
        <f t="shared" si="11"/>
        <v>1.7722101477477104E-2</v>
      </c>
      <c r="V57" s="70" t="s">
        <v>9</v>
      </c>
      <c r="W57" s="82" t="e">
        <f>+SUM(W46,W48,W49,W50,W55,W56)</f>
        <v>#N/A</v>
      </c>
      <c r="X57" s="82" t="e">
        <f>+SUM(X46,X48,X49,X50,X55,X56)</f>
        <v>#N/A</v>
      </c>
      <c r="AA57" t="s">
        <v>857</v>
      </c>
      <c r="AB57" s="27">
        <f>+INDEX(Recon!$G$39:$AH$44,MATCH("Less: Tax impact of preceding items",Recon!$H$39:$H$44,0),MATCH(IR!E$2,Recon!$G$4:$AH$4,0))</f>
        <v>-366.28899999999999</v>
      </c>
      <c r="AC57" s="27">
        <f>+INDEX(Recon!$G$39:$AH$44,MATCH("Less: Tax impact of preceding items",Recon!$H$39:$H$44,0),MATCH(IR!F$2,Recon!$G$4:$AH$4,0))</f>
        <v>642.73800000000006</v>
      </c>
    </row>
    <row r="58" spans="3:30" ht="15.6" thickTop="1" thickBot="1">
      <c r="D58" s="3" t="s">
        <v>617</v>
      </c>
      <c r="E58" s="42">
        <f>+INDEX('ISP 1'!$G$5:$AH$13,MATCH("Revenues",'ISP 1'!$H$5:$H$13,0),MATCH(IR!E$2,'ISP 1'!$G$4:$AH$4,0))/1000</f>
        <v>360.51876337629864</v>
      </c>
      <c r="F58" s="42">
        <f>+INDEX('ISP 1'!$G$5:$AH$13,MATCH("Revenues",'ISP 1'!$H$5:$H$13,0),MATCH(IR!F$2,'ISP 1'!$G$4:$AH$4,0))/1000</f>
        <v>298.29698578500802</v>
      </c>
      <c r="G58" s="43">
        <f t="shared" si="11"/>
        <v>0.20859003126547115</v>
      </c>
      <c r="V58" t="s">
        <v>549</v>
      </c>
      <c r="AA58" s="75" t="s">
        <v>165</v>
      </c>
      <c r="AB58" s="32">
        <f>+AB54-SUM(AB55:AB57)</f>
        <v>200953.81888281755</v>
      </c>
      <c r="AC58" s="32">
        <f>+AC54-SUM(AC55:AC57)</f>
        <v>180384.91707309539</v>
      </c>
      <c r="AD58" s="23">
        <f>+AB58/AC58-1</f>
        <v>0.11402783638161518</v>
      </c>
    </row>
    <row r="59" spans="3:30" ht="15" thickTop="1">
      <c r="D59" t="s">
        <v>198</v>
      </c>
      <c r="E59" s="72">
        <f>+INDEX('ISP 1'!$G$5:$AH$42,MATCH("Benefits and expenses",'ISP 1'!$H$5:$H$42,0),MATCH(IR!E$2,'ISP 1'!$G$4:$AH$4,0))/1000</f>
        <v>256.30315397735143</v>
      </c>
      <c r="F59" s="72">
        <f>+INDEX('ISP 1'!$G$5:$AH$42,MATCH("Benefits and expenses",'ISP 1'!$H$5:$H$42,0),MATCH(IR!F$2,'ISP 1'!$G$4:$AH$4,0))/1000</f>
        <v>218.87665008649358</v>
      </c>
      <c r="G59" s="23">
        <f t="shared" si="11"/>
        <v>0.17099358874538684</v>
      </c>
      <c r="V59" s="3" t="s">
        <v>621</v>
      </c>
      <c r="Y59" s="39"/>
      <c r="AA59" t="s">
        <v>549</v>
      </c>
    </row>
    <row r="60" spans="3:30">
      <c r="D60" s="3" t="s">
        <v>593</v>
      </c>
      <c r="E60" s="42">
        <f>+INDEX('ISP 1'!$G$5:$AH$42,MATCH("Income before income taxes",'ISP 1'!$H$5:$H$42,0),MATCH(IR!E$2,'ISP 1'!$G$4:$AH$4,0))/1000</f>
        <v>104.21560939894724</v>
      </c>
      <c r="F60" s="42">
        <f>+INDEX('ISP 1'!$G$5:$AH$42,MATCH("Income before income taxes",'ISP 1'!$H$5:$H$42,0),MATCH(IR!F$2,'ISP 1'!$G$4:$AH$4,0))/1000</f>
        <v>79.420335698514421</v>
      </c>
      <c r="G60" s="43">
        <f t="shared" si="11"/>
        <v>0.31220308353464454</v>
      </c>
      <c r="V60" s="69" t="s">
        <v>10</v>
      </c>
      <c r="AA60" t="s">
        <v>633</v>
      </c>
      <c r="AB60" s="46">
        <f>+AB$33</f>
        <v>6.45</v>
      </c>
      <c r="AC60" s="46">
        <f>+AC$33</f>
        <v>5.4</v>
      </c>
      <c r="AD60" s="23">
        <f>+AB60/AC60-1</f>
        <v>0.19444444444444442</v>
      </c>
    </row>
    <row r="61" spans="3:30">
      <c r="E61" s="72"/>
      <c r="F61" s="72"/>
      <c r="V61" s="70" t="s">
        <v>11</v>
      </c>
      <c r="W61" s="44">
        <f>+INDEX(BS!$G$6:$W$61,MATCH("Future policy benefits",BS!$H$6:$H$61,0),MATCH(IR!E$3,BS!$G$4:$W$4,0))</f>
        <v>6803364.1076408075</v>
      </c>
      <c r="X61" s="44">
        <f>+INDEX(BS!$G$6:$W$61,MATCH("Future policy benefits",BS!$H$6:$H$61,0),MATCH(IR!I$3,BS!$G$4:$W$4,0))</f>
        <v>6818178.9303770019</v>
      </c>
      <c r="AA61" t="s">
        <v>634</v>
      </c>
      <c r="AB61" s="47">
        <f>+AB60-AB62</f>
        <v>4.0000000000000036E-2</v>
      </c>
      <c r="AC61" s="47">
        <f>+AC60-AC62</f>
        <v>-5.9999999999999609E-2</v>
      </c>
    </row>
    <row r="62" spans="3:30" ht="15" thickBot="1">
      <c r="C62" s="58" t="s">
        <v>619</v>
      </c>
      <c r="D62" s="66"/>
      <c r="E62" s="21" t="str">
        <f>+_xlfn.CONCAT($A$1," ",$B$1)</f>
        <v>Q2 2026</v>
      </c>
      <c r="F62" s="21" t="str">
        <f>+_xlfn.CONCAT($A$1," ",$B$1-1)</f>
        <v>Q2 2025</v>
      </c>
      <c r="G62" s="21"/>
      <c r="H62" s="72"/>
      <c r="V62" s="70" t="s">
        <v>625</v>
      </c>
      <c r="W62" s="1201" t="s">
        <v>626</v>
      </c>
      <c r="X62" s="1201"/>
      <c r="AA62" s="75" t="s">
        <v>635</v>
      </c>
      <c r="AB62" s="48">
        <f>+INDEX(Corp!$G$6:$AH$62,MATCH("Diluted adjusted operating income per share",Corp!$I$6:$I$62,0),MATCH(E$2,Corp!$G$4:$AH$4,0))</f>
        <v>6.41</v>
      </c>
      <c r="AC62" s="48">
        <f>+INDEX(Corp!$G$6:$AH$62,MATCH("Diluted adjusted operating income per share",Corp!$I$6:$I$62,0),MATCH(F$2,Corp!$G$4:$AH$4,0))</f>
        <v>5.46</v>
      </c>
      <c r="AD62" s="23">
        <f>+AB62/AC62-1</f>
        <v>0.17399267399267404</v>
      </c>
    </row>
    <row r="63" spans="3:30" ht="15" thickTop="1">
      <c r="D63" s="83" t="s">
        <v>620</v>
      </c>
      <c r="V63" s="70" t="s">
        <v>628</v>
      </c>
      <c r="W63" s="1201"/>
      <c r="X63" s="1201"/>
    </row>
    <row r="64" spans="3:30">
      <c r="D64" s="69" t="s">
        <v>622</v>
      </c>
      <c r="E64" s="16">
        <f ca="1">OFFSET(INDEX('ISP 1'!$G$5:$AH$42,MATCH("Sales-based variable margin as % of revenue-generating sales (3)",'ISP 1'!$H$5:$H$42,0),MATCH(IR!E$2,'ISP 1'!$G$4:$AH$4,0)),3,0)</f>
        <v>1.2649928322875191E-2</v>
      </c>
      <c r="F64" s="16">
        <f ca="1">OFFSET(INDEX('ISP 1'!$G$5:$AH$42,MATCH("Sales-based variable margin as % of revenue-generating sales (3)",'ISP 1'!$H$5:$H$42,0),MATCH(IR!F$2,'ISP 1'!$G$4:$AH$4,0)),3,0)</f>
        <v>1.2293568481634041E-2</v>
      </c>
      <c r="V64" s="70" t="s">
        <v>630</v>
      </c>
      <c r="W64" s="1201"/>
      <c r="X64" s="1201"/>
      <c r="AA64" t="s">
        <v>636</v>
      </c>
    </row>
    <row r="65" spans="2:30">
      <c r="D65" s="83" t="s">
        <v>623</v>
      </c>
      <c r="V65" s="101" t="s">
        <v>12</v>
      </c>
      <c r="W65" s="102">
        <f>+INDEX(BS!$G$6:$W$61,MATCH("Other policy liabilities",BS!$H$6:$H$61,0),MATCH(IR!E$3,BS!$G$4:$W$4,0))</f>
        <v>849967.57661706582</v>
      </c>
      <c r="X65" s="102">
        <f>+INDEX(BS!$G$6:$W$61,MATCH("Other policy liabilities",BS!$H$6:$H$61,0),MATCH(IR!I$3,BS!$G$4:$W$4,0))</f>
        <v>867304.61570577149</v>
      </c>
    </row>
    <row r="66" spans="2:30">
      <c r="D66" s="69" t="s">
        <v>624</v>
      </c>
      <c r="E66" s="45">
        <f ca="1">OFFSET(INDEX('ISP 1'!$G$5:$AH$42,MATCH("Asset-based variable margin as % of average asset values (4)",'ISP 1'!$H$5:$H$42,0),MATCH(IR!E$2,'ISP 1'!$G$4:$AH$4,0)),3,0)</f>
        <v>5.7303039496681661E-4</v>
      </c>
      <c r="F66" s="45">
        <f ca="1">OFFSET(INDEX('ISP 1'!$G$5:$AH$42,MATCH("Asset-based variable margin as % of average asset values (4)",'ISP 1'!$H$5:$H$42,0),MATCH(IR!F$2,'ISP 1'!$G$4:$AH$4,0)),3,0)</f>
        <v>5.3068193081375731E-4</v>
      </c>
      <c r="V66" s="70" t="s">
        <v>15</v>
      </c>
      <c r="W66" s="41">
        <f>+INDEX(BS!$G$6:$W$61,MATCH("Debt obligations",BS!$H$6:$H$61,0),MATCH(IR!E$3,BS!$G$4:$W$4,0))</f>
        <v>595716.45618999994</v>
      </c>
      <c r="X66" s="41">
        <f>+INDEX(BS!$G$6:$W$61,MATCH("Debt obligations",BS!$H$6:$H$61,0),MATCH(IR!I$3,BS!$G$4:$W$4,0))</f>
        <v>595314.87396</v>
      </c>
    </row>
    <row r="67" spans="2:30">
      <c r="D67" s="83" t="s">
        <v>627</v>
      </c>
      <c r="V67" s="70" t="s">
        <v>16</v>
      </c>
      <c r="W67" s="41">
        <f>+INDEX(BS!$G$6:$W$61,MATCH("Surplus note",BS!$H$6:$H$61,0),MATCH(IR!E$3,BS!$G$4:$W$4,0))</f>
        <v>1073291.08072</v>
      </c>
      <c r="X67" s="41">
        <f>+INDEX(BS!$G$6:$W$61,MATCH("Surplus note",BS!$H$6:$H$61,0),MATCH(IR!I$3,BS!$G$4:$W$4,0))</f>
        <v>1175119.3303499999</v>
      </c>
      <c r="AA67" s="1194" t="s">
        <v>639</v>
      </c>
      <c r="AB67" s="1194"/>
      <c r="AC67" s="1194"/>
      <c r="AD67" s="1194"/>
    </row>
    <row r="68" spans="2:30">
      <c r="D68" s="69" t="s">
        <v>629</v>
      </c>
      <c r="E68" s="71">
        <f>INDEX('ISP 1'!$G$5:$AH$42,MATCH("Account-based variable margin per average fee generating position (5)(6)",'ISP 1'!$H$5:$H$42,0),MATCH(IR!E$2,'ISP 1'!$G$4:$AH$4,0))</f>
        <v>3.965057132601653</v>
      </c>
      <c r="F68" s="71">
        <f>INDEX('ISP 1'!$G$5:$AH$42,MATCH("Account-based variable margin per average fee generating position (5)(6)",'ISP 1'!$H$5:$H$42,0),MATCH(IR!F$2,'ISP 1'!$G$4:$AH$4,0))</f>
        <v>4.0180897973354899</v>
      </c>
      <c r="V68" s="70" t="s">
        <v>631</v>
      </c>
      <c r="W68" s="1200" t="s">
        <v>632</v>
      </c>
      <c r="X68" s="1200"/>
    </row>
    <row r="69" spans="2:30">
      <c r="D69" s="69"/>
      <c r="E69" s="71"/>
      <c r="F69" s="71"/>
      <c r="V69" s="101" t="s">
        <v>14</v>
      </c>
      <c r="W69" s="102">
        <f>+INDEX(BS!$G$6:$W$61,MATCH("Other liabilities",BS!$H$6:$H$61,0),MATCH(IR!E$3,BS!$G$4:$W$4,0))</f>
        <v>691569.5035403478</v>
      </c>
      <c r="X69" s="102">
        <f>+INDEX(BS!$G$6:$W$61,MATCH("Other liabilities",BS!$H$6:$H$61,0),MATCH(IR!I$3,BS!$G$4:$W$4,0))</f>
        <v>744120.86429755809</v>
      </c>
      <c r="AB69" s="3" t="str">
        <f>+_xlfn.CONCAT(CHOOSE(RIGHT($A$1,1),"March 31","June 30","September 30","December 31"),", ",$B$1)</f>
        <v>June 30, 2026</v>
      </c>
      <c r="AC69" s="3" t="str">
        <f>+_xlfn.CONCAT(CHOOSE(RIGHT($A$1,1),"March 31","June 30","September 30","December 31"),", ",$B$1-1)</f>
        <v>June 30, 2025</v>
      </c>
      <c r="AD69" s="3" t="s">
        <v>532</v>
      </c>
    </row>
    <row r="70" spans="2:30">
      <c r="C70" s="58" t="s">
        <v>642</v>
      </c>
      <c r="D70" s="66"/>
      <c r="E70" s="21" t="str">
        <f>+_xlfn.CONCAT($A$1," ",$B$1)</f>
        <v>Q2 2026</v>
      </c>
      <c r="F70" s="21" t="str">
        <f>+_xlfn.CONCAT($A$1," ",$B$1-1)</f>
        <v>Q2 2025</v>
      </c>
      <c r="G70" s="21" t="s">
        <v>532</v>
      </c>
      <c r="V70" s="70" t="s">
        <v>17</v>
      </c>
      <c r="W70" s="41">
        <f>+INDEX(BS!$G$6:$W$61,MATCH("Payable under securities lending",BS!$H$6:$H$61,0),MATCH(IR!E$3,BS!$G$4:$W$4,0))</f>
        <v>88578.678000000014</v>
      </c>
      <c r="X70" s="41">
        <f>+INDEX(BS!$G$6:$W$61,MATCH("Payable under securities lending",BS!$H$6:$H$61,0),MATCH(IR!I$3,BS!$G$4:$W$4,0))</f>
        <v>84875.665999999997</v>
      </c>
      <c r="AA70" t="s">
        <v>95</v>
      </c>
      <c r="AB70" s="24">
        <f>+INDEX('Term 1'!$G$6:$AH$44,MATCH("Direct premiums",'Term 1'!$H$6:$H$44,0),MATCH(IR!E$2,'Term 1'!$G$4:$AH$4,0))</f>
        <v>873604.31205804646</v>
      </c>
      <c r="AC70" s="24">
        <f>+INDEX('Term 1'!$G$6:$AH$44,MATCH("Direct premiums",'Term 1'!$H$6:$H$44,0),MATCH(IR!F$2,'Term 1'!$G$4:$AH$4,0))</f>
        <v>861919.09492307692</v>
      </c>
      <c r="AD70" s="23">
        <f>+AB70/AC70-1</f>
        <v>1.3557208795812015E-2</v>
      </c>
    </row>
    <row r="71" spans="2:30">
      <c r="D71" t="s">
        <v>890</v>
      </c>
      <c r="E71" s="72">
        <f>+INDEX('Term 1'!$G$6:$AH$23,MATCH("Insurance expenses",'Term 1'!$H$6:$H$23,0),MATCH(IR!$E$2,'Term 1'!$G$4:$AH$4,0))/1000</f>
        <v>70.020467582559135</v>
      </c>
      <c r="F71" s="72">
        <f>+INDEX('Term 1'!$G$6:$AH$23,MATCH("Insurance expenses",'Term 1'!$H$6:$H$23,0),MATCH(IR!$F$2,'Term 1'!$G$4:$AH$4,0))/1000</f>
        <v>63.215720029533827</v>
      </c>
      <c r="G71" s="28">
        <f t="shared" ref="G71:G74" si="12">+E71/F71-1</f>
        <v>0.10764328160536962</v>
      </c>
      <c r="V71" s="70" t="s">
        <v>18</v>
      </c>
      <c r="W71" s="41">
        <f>+INDEX(BS!$G$6:$W$61,MATCH("Separate Account Liabilities",BS!$H$6:$H$61,0),MATCH(IR!E$3,BS!$G$4:$W$4,0))</f>
        <v>2156498.4397324394</v>
      </c>
      <c r="X71" s="41">
        <f>+INDEX(BS!$G$6:$W$61,MATCH("Separate Account Liabilities",BS!$H$6:$H$61,0),MATCH(IR!I$3,BS!$G$4:$W$4,0))</f>
        <v>2281520.4052366395</v>
      </c>
      <c r="AA71" t="s">
        <v>644</v>
      </c>
      <c r="AB71" s="27">
        <f>-INDEX('Term 1'!$G$6:$AH$44,MATCH("Premiums ceded to IPO coinsurers (1)",'Term 1'!$H$6:$H$44,0),MATCH(IR!E$2,'Term 1'!$G$4:$AH$4,0))</f>
        <v>176766.37789732899</v>
      </c>
      <c r="AC71" s="27">
        <f>-INDEX('Term 1'!$G$6:$AH$44,MATCH("Premiums ceded to IPO coinsurers (1)",'Term 1'!$H$6:$H$44,0),MATCH(IR!F$2,'Term 1'!$G$4:$AH$4,0))</f>
        <v>187988.117010138</v>
      </c>
    </row>
    <row r="72" spans="2:30" ht="15" thickBot="1">
      <c r="D72" t="s">
        <v>643</v>
      </c>
      <c r="E72" s="72">
        <f>+INDEX('ISP 1'!$G$7:$AH$24,MATCH("Other operating expenses",'ISP 1'!$H$7:$H$24,0),MATCH(IR!$E$2,'ISP 1'!$G$4:$AH$4,0))/1000</f>
        <v>55.055911856077763</v>
      </c>
      <c r="F72" s="72">
        <f>+INDEX('ISP 1'!$G$7:$AH$24,MATCH("Other operating expenses",'ISP 1'!$H$7:$H$24,0),MATCH(IR!$F$2,'ISP 1'!$G$4:$AH$4,0))/1000</f>
        <v>53.0956502677099</v>
      </c>
      <c r="G72" s="28">
        <f t="shared" si="12"/>
        <v>3.6919438381188829E-2</v>
      </c>
      <c r="V72" s="75" t="s">
        <v>19</v>
      </c>
      <c r="W72" s="29">
        <f>+SUM(W61,W65,W66,W67,W69,W70,W71)</f>
        <v>12258985.842440661</v>
      </c>
      <c r="X72" s="29">
        <f>+SUM(X61,X65,X66,X67,X69,X70,X71)</f>
        <v>12566434.68592697</v>
      </c>
      <c r="AA72" s="69" t="s">
        <v>646</v>
      </c>
      <c r="AB72" s="32">
        <f>+AB70-AB71</f>
        <v>696837.93416071753</v>
      </c>
      <c r="AC72" s="32">
        <f>+AC70-AC71</f>
        <v>673930.97791293892</v>
      </c>
      <c r="AD72" s="23">
        <f>+AB72/AC72-1</f>
        <v>3.3990062778710639E-2</v>
      </c>
    </row>
    <row r="73" spans="2:30" ht="15" thickTop="1">
      <c r="D73" t="s">
        <v>891</v>
      </c>
      <c r="E73" s="72" t="e">
        <f>+INDEX(CNO!$G$6:$AH$30,MATCH("Adjusted other operating expenses",CNO!$H$6:$H$30,0),MATCH(IR!$E$2,CNO!$G$4:$AH$4,0))/1000+INDEX(CNO!$G$6:$AH$30,MATCH("Insurance Expenses",CNO!$H$6:$H$30,0),MATCH(IR!$E$2,CNO!$G$4:$AH$4,0))/1000</f>
        <v>#N/A</v>
      </c>
      <c r="F73" s="72" t="e">
        <f>+INDEX(CNO!$G$6:$AH$30,MATCH("Adjusted other operating expenses",CNO!$H$6:$H$30,0),MATCH(IR!$F$2,CNO!$G$4:$AH$4,0))/1000+INDEX(CNO!$G$6:$AH$30,MATCH("Insurance Expenses",CNO!$H$6:$H$30,0),MATCH(IR!$F$2,CNO!$G$4:$AH$4,0))/1000</f>
        <v>#N/A</v>
      </c>
      <c r="G73" s="28" t="e">
        <f t="shared" si="12"/>
        <v>#N/A</v>
      </c>
      <c r="K73" s="568"/>
      <c r="L73" s="72"/>
      <c r="V73" s="75"/>
      <c r="W73" s="49"/>
      <c r="X73" s="49"/>
      <c r="AA73" t="s">
        <v>549</v>
      </c>
    </row>
    <row r="74" spans="2:30">
      <c r="D74" t="s">
        <v>892</v>
      </c>
      <c r="E74" s="1050" t="e">
        <f>SUM(E71:E73)</f>
        <v>#N/A</v>
      </c>
      <c r="F74" s="1050" t="e">
        <f>SUM(F71:F73)</f>
        <v>#N/A</v>
      </c>
      <c r="G74" s="28" t="e">
        <f t="shared" si="12"/>
        <v>#N/A</v>
      </c>
      <c r="V74" s="69" t="s">
        <v>637</v>
      </c>
      <c r="W74" s="49"/>
      <c r="X74" s="49"/>
      <c r="AA74" t="s">
        <v>96</v>
      </c>
      <c r="AB74" s="84">
        <f>+AB75+AB76</f>
        <v>-441241.52221642871</v>
      </c>
      <c r="AC74" s="84">
        <f>+AC75+AC76</f>
        <v>-432306.34232131549</v>
      </c>
      <c r="AD74" s="23"/>
    </row>
    <row r="75" spans="2:30">
      <c r="H75" s="72"/>
      <c r="V75" s="69" t="s">
        <v>638</v>
      </c>
      <c r="W75" s="41">
        <f>+INDEX(BS!$G$6:$W$61,MATCH("Redeemable noncontrolling interest*",BS!$G$6:$G$61,0),MATCH(IR!E$3,BS!$G$4:$W$4,0))</f>
        <v>0</v>
      </c>
      <c r="X75" s="41">
        <f>+INDEX(BS!$G$6:$W$61,MATCH("Redeemable noncontrolling interest*",BS!$G$6:$G$61,0),MATCH(IR!I$3,BS!$G$4:$W$4,0))</f>
        <v>0</v>
      </c>
      <c r="AA75" t="s">
        <v>644</v>
      </c>
      <c r="AB75" s="26">
        <f>+INDEX('Term 1'!$G$6:$AH$44,MATCH("Premiums ceded to IPO coinsurers (1)",'Term 1'!$H$6:$H$44,0),MATCH(IR!E$2,'Term 1'!$G$4:$AH$4,0))</f>
        <v>-176766.37789732899</v>
      </c>
      <c r="AC75" s="26">
        <f>+INDEX('Term 1'!$G$6:$AH$44,MATCH("Premiums ceded to IPO coinsurers (1)",'Term 1'!$H$6:$H$44,0),MATCH(IR!F$2,'Term 1'!$G$4:$AH$4,0))</f>
        <v>-187988.117010138</v>
      </c>
    </row>
    <row r="76" spans="2:30" ht="15" customHeight="1" thickBot="1">
      <c r="B76" s="1195" t="s">
        <v>650</v>
      </c>
      <c r="C76" s="58" t="s">
        <v>651</v>
      </c>
      <c r="D76" s="66"/>
      <c r="E76" s="52" t="str">
        <f>+RIGHT('Inv 1'!$O$3,LEN('Inv 1'!$O$3)-LEN("As of or for the period ended "))</f>
        <v>June 30, 2026</v>
      </c>
      <c r="F76" s="85"/>
      <c r="J76" s="1197" t="s">
        <v>322</v>
      </c>
      <c r="K76" s="1197"/>
      <c r="L76" s="1197"/>
      <c r="M76" s="1197"/>
      <c r="O76" s="1197" t="s">
        <v>937</v>
      </c>
      <c r="P76" s="1197"/>
      <c r="Q76" s="1197"/>
      <c r="R76" s="1197"/>
      <c r="V76" t="s">
        <v>549</v>
      </c>
      <c r="AA76" s="69" t="s">
        <v>649</v>
      </c>
      <c r="AB76" s="51">
        <f>+INDEX('Term 1'!$G$6:$AH$44,MATCH("Other*",'Term 1'!$H$6:$H$44,0),MATCH(IR!E$2,'Term 1'!$G$4:$AH$4,0))</f>
        <v>-264475.14431909972</v>
      </c>
      <c r="AC76" s="51">
        <f>+INDEX('Term 1'!$G$6:$AH$44,MATCH("Other*",'Term 1'!$H$6:$H$44,0),MATCH(IR!F$2,'Term 1'!$G$4:$AH$4,0))</f>
        <v>-244318.22531117749</v>
      </c>
    </row>
    <row r="77" spans="2:30" ht="15.6" thickTop="1" thickBot="1">
      <c r="B77" s="1195"/>
      <c r="D77" t="s">
        <v>652</v>
      </c>
      <c r="E77" s="64" t="str">
        <f>+_xlfn.CONCAT(TEXT((SUM('Inv 1'!$O$9,'Inv 1'!$O$21)/'Inv 1'!$O$30),"#%")," / ",TEXT(1-(SUM('Inv 1'!$O$9,'Inv 1'!$O$21)/'Inv 1'!$O$30),"#%"))</f>
        <v>99% / 1%</v>
      </c>
      <c r="J77" s="1193" t="s">
        <v>350</v>
      </c>
      <c r="K77" s="1193"/>
      <c r="L77" s="1193"/>
      <c r="M77" s="1117">
        <f>'Inv 1'!R12</f>
        <v>2.9116612048889477E-3</v>
      </c>
      <c r="O77" s="1193" t="s">
        <v>351</v>
      </c>
      <c r="P77" s="1193"/>
      <c r="Q77" s="1193"/>
      <c r="R77" s="1117">
        <f>'Inv 2'!O9</f>
        <v>0.18408326010924808</v>
      </c>
      <c r="V77" s="69" t="s">
        <v>640</v>
      </c>
      <c r="AA77" t="s">
        <v>97</v>
      </c>
      <c r="AB77" s="53">
        <f>+INDEX('Term 1'!$G$6:$AH$44,MATCH("Net premiums",'Term 1'!$H$6:$H$44,0),MATCH(IR!E$2,'Term 1'!$G$4:$AH$4,0))</f>
        <v>432362.78984161781</v>
      </c>
      <c r="AC77" s="53">
        <f>+INDEX('Term 1'!$G$6:$AH$44,MATCH("Net premiums",'Term 1'!$H$6:$H$44,0),MATCH(IR!F$2,'Term 1'!$G$4:$AH$4,0))</f>
        <v>429612.75260176143</v>
      </c>
      <c r="AD77" s="23">
        <f>+AB77/AC77-1</f>
        <v>6.4012002046074379E-3</v>
      </c>
    </row>
    <row r="78" spans="2:30" ht="15" thickTop="1">
      <c r="B78" s="1195"/>
      <c r="D78" t="s">
        <v>653</v>
      </c>
      <c r="E78" s="16">
        <f>+'Inv 1'!T21</f>
        <v>4.4269305376922911E-2</v>
      </c>
      <c r="J78" s="1193" t="s">
        <v>352</v>
      </c>
      <c r="K78" s="1193"/>
      <c r="L78" s="1193"/>
      <c r="M78" s="1117">
        <f>'Inv 1'!R13</f>
        <v>5.618764627272916E-2</v>
      </c>
      <c r="O78" s="1193" t="s">
        <v>355</v>
      </c>
      <c r="P78" s="1193"/>
      <c r="Q78" s="1193"/>
      <c r="R78" s="1117">
        <f>'Inv 2'!O10</f>
        <v>0.13564311247200175</v>
      </c>
      <c r="V78" s="70" t="s">
        <v>641</v>
      </c>
      <c r="W78" s="41">
        <f>+INDEX(BS!$G$6:$W$61,MATCH("Common stock*",BS!$H$6:$H$61,0),MATCH(IR!E$3,BS!$G$4:$W$4,0))</f>
        <v>308.98185000000001</v>
      </c>
      <c r="X78" s="41">
        <f>+INDEX(BS!$G$6:$W$61,MATCH("Common stock*",BS!$H$6:$H$61,0),MATCH(IR!I$3,BS!$G$4:$W$4,0))</f>
        <v>318.09802999999999</v>
      </c>
    </row>
    <row r="79" spans="2:30">
      <c r="B79" s="1195"/>
      <c r="D79" t="s">
        <v>654</v>
      </c>
      <c r="E79" s="54" t="str">
        <f>+'Inv 1'!U21</f>
        <v>A</v>
      </c>
      <c r="J79" s="1193" t="s">
        <v>354</v>
      </c>
      <c r="K79" s="1193"/>
      <c r="L79" s="1193"/>
      <c r="M79" s="1117">
        <f>'Inv 1'!R14</f>
        <v>1.1208621990826458E-2</v>
      </c>
      <c r="O79" s="1193" t="s">
        <v>366</v>
      </c>
      <c r="P79" s="1193"/>
      <c r="Q79" s="1193"/>
      <c r="R79" s="1117">
        <f>'Inv 2'!O11</f>
        <v>0.24775438620217474</v>
      </c>
      <c r="V79" s="70" t="s">
        <v>23</v>
      </c>
      <c r="W79" s="41">
        <f>+INDEX(BS!$G$6:$W$61,MATCH("Paid-in capital",BS!$H$6:$H$61,0),MATCH(IR!E$3,BS!$G$4:$W$4,0))</f>
        <v>0</v>
      </c>
      <c r="X79" s="41">
        <f>+INDEX(BS!$G$6:$W$61,MATCH("Paid-in capital",BS!$H$6:$H$61,0),MATCH(IR!I$3,BS!$G$4:$W$4,0))</f>
        <v>0</v>
      </c>
      <c r="AA79" s="1194" t="s">
        <v>661</v>
      </c>
      <c r="AB79" s="1194"/>
      <c r="AC79" s="1194"/>
      <c r="AD79" s="1194"/>
    </row>
    <row r="80" spans="2:30">
      <c r="B80" s="1195"/>
      <c r="D80" t="s">
        <v>655</v>
      </c>
      <c r="E80" s="64" t="str">
        <f>+_xlfn.CONCAT(TEXT(1-'Inv 2'!O13,"#%")," / ",TEXT('Inv 2'!O13,"#%"))</f>
        <v>99% / 1%</v>
      </c>
      <c r="J80" s="1193" t="s">
        <v>932</v>
      </c>
      <c r="K80" s="1193"/>
      <c r="L80" s="1193"/>
      <c r="M80" s="1117">
        <f>'Inv 1'!R15</f>
        <v>0.45200029713727352</v>
      </c>
      <c r="O80" s="1193" t="s">
        <v>362</v>
      </c>
      <c r="P80" s="1193"/>
      <c r="Q80" s="1193"/>
      <c r="R80" s="1117">
        <f>'Inv 2'!O12</f>
        <v>0.42360105960353756</v>
      </c>
      <c r="V80" s="70" t="s">
        <v>24</v>
      </c>
      <c r="W80" s="41">
        <f>+INDEX(BS!$G$6:$W$61,MATCH("Retained earnings",BS!$H$6:$H$61,0),MATCH(IR!E$3,BS!$G$4:$W$4,0))</f>
        <v>2473436.4893396529</v>
      </c>
      <c r="X80" s="41">
        <f>+INDEX(BS!$G$6:$W$61,MATCH("Retained earnings",BS!$H$6:$H$61,0),MATCH(IR!I$3,BS!$G$4:$W$4,0))</f>
        <v>2416148.7048707833</v>
      </c>
    </row>
    <row r="81" spans="2:30">
      <c r="B81" s="1195"/>
      <c r="D81" t="s">
        <v>656</v>
      </c>
      <c r="E81" s="55" t="str">
        <f>+_xlfn.CONCAT(TEXT('Inv 1'!$O$67,"0.0")," Years")</f>
        <v>5.2 Years</v>
      </c>
      <c r="J81" s="1193" t="s">
        <v>933</v>
      </c>
      <c r="K81" s="1193"/>
      <c r="L81" s="1193"/>
      <c r="M81" s="1117">
        <f>'Inv 1'!R16</f>
        <v>0.15817948286023473</v>
      </c>
      <c r="O81" s="1193" t="s">
        <v>395</v>
      </c>
      <c r="P81" s="1193"/>
      <c r="Q81" s="1193"/>
      <c r="R81" s="1117">
        <f>'Inv 2'!O13</f>
        <v>8.5283254659463802E-3</v>
      </c>
      <c r="V81" s="70" t="s">
        <v>645</v>
      </c>
      <c r="AB81" s="3" t="str">
        <f>+_xlfn.CONCAT(CHOOSE(RIGHT($A$1,1),"March 31","June 30","September 30","December 31"),", ",$B$1)</f>
        <v>June 30, 2026</v>
      </c>
      <c r="AC81" s="3" t="str">
        <f>+_xlfn.CONCAT(CHOOSE(RIGHT($A$1,1),"March 31","June 30","September 30","December 31"),", ",$B$1-1)</f>
        <v>June 30, 2025</v>
      </c>
      <c r="AD81" s="3" t="s">
        <v>532</v>
      </c>
    </row>
    <row r="82" spans="2:30">
      <c r="B82" s="1195"/>
      <c r="D82" t="s">
        <v>657</v>
      </c>
      <c r="E82" s="56" t="str">
        <f>+_xlfn.CONCAT(TEXT('Inv 1'!$O$21/1000000,"$##0.0")," billion")</f>
        <v>$3.5 billion</v>
      </c>
      <c r="J82" s="1193" t="s">
        <v>934</v>
      </c>
      <c r="K82" s="1193"/>
      <c r="L82" s="1193"/>
      <c r="M82" s="1117">
        <f>'Inv 1'!R17</f>
        <v>5.969555667424975E-2</v>
      </c>
      <c r="O82" s="1198" t="s">
        <v>396</v>
      </c>
      <c r="P82" s="1198"/>
      <c r="Q82" s="1198"/>
      <c r="R82" s="1117">
        <f>'Inv 2'!O14</f>
        <v>3.8985614709150743E-4</v>
      </c>
      <c r="V82" s="70" t="s">
        <v>647</v>
      </c>
      <c r="W82" s="41">
        <f>+INDEX(BS!$G$6:$W$61,MATCH("Net unrealized gains (losses)",BS!$I$6:$I$61,0),MATCH(IR!E$3,BS!$G$4:$W$4,0))+INDEX(BS!$G$6:$W$61,MATCH("Cumulative translation adjustment",BS!$I$6:$I$61,0),MATCH(IR!E$3,BS!$G$4:$W$4,0))+INDEX(BS!$G$6:$W$61,MATCH("Effect of change in discount rate assumptions on the liability for future policy benefits",BS!$I$6:$I$61,0),MATCH(IR!E$3,BS!$G$4:$W$4,0))</f>
        <v>49207.957585938013</v>
      </c>
      <c r="X82" s="41">
        <f>+INDEX(BS!$G$6:$W$61,MATCH("Net unrealized gains (losses)",BS!$I$6:$I$61,0),MATCH(IR!I$3,BS!$G$4:$W$4,0))+INDEX(BS!$G$6:$W$61,MATCH("Cumulative translation adjustment",BS!$I$6:$I$61,0),MATCH(IR!I$3,BS!$G$4:$W$4,0))+INDEX(BS!$G$6:$W$61,MATCH("Effect of change in discount rate assumptions on the liability for future policy benefits",BS!$I$6:$I$61,0),MATCH(IR!I$3,BS!$G$4:$W$4,0))</f>
        <v>29434.385232769404</v>
      </c>
      <c r="AA82" t="s">
        <v>161</v>
      </c>
      <c r="AB82" s="24">
        <f>+AB85+AB83+AB84</f>
        <v>60941.195148280385</v>
      </c>
      <c r="AC82" s="24">
        <f>+AC85+AC83+AC84</f>
        <v>53203.141338593508</v>
      </c>
      <c r="AD82" s="23">
        <f>+AB82/AC82-1</f>
        <v>0.14544355117004537</v>
      </c>
    </row>
    <row r="83" spans="2:30">
      <c r="B83" s="1195"/>
      <c r="D83" t="s">
        <v>658</v>
      </c>
      <c r="E83" s="56" t="str">
        <f>+_xlfn.CONCAT(TEXT('Inv 1'!$Q$21/1000,"$#,##0.0;($#,##0.0)")," million")</f>
        <v>($140.3) million</v>
      </c>
      <c r="J83" s="1193" t="s">
        <v>935</v>
      </c>
      <c r="K83" s="1193"/>
      <c r="L83" s="1193"/>
      <c r="M83" s="1117">
        <f>'Inv 1'!R18</f>
        <v>1.8950118510576323E-2</v>
      </c>
      <c r="V83" s="75" t="s">
        <v>29</v>
      </c>
      <c r="W83" s="50">
        <f>+SUM(W78:W82)</f>
        <v>2522953.4287755908</v>
      </c>
      <c r="X83" s="50">
        <f>+SUM(X78:X82)</f>
        <v>2445901.1881335527</v>
      </c>
      <c r="AA83" t="s">
        <v>603</v>
      </c>
      <c r="AB83" s="27">
        <f>+AB$13</f>
        <v>1690.7668738471536</v>
      </c>
      <c r="AC83" s="27">
        <f>+AC$13</f>
        <v>-2865.960541993572</v>
      </c>
    </row>
    <row r="84" spans="2:30" ht="15" thickBot="1">
      <c r="B84" s="1195"/>
      <c r="D84" s="1196" t="s">
        <v>659</v>
      </c>
      <c r="J84" s="1193" t="s">
        <v>936</v>
      </c>
      <c r="K84" s="1193"/>
      <c r="L84" s="1193"/>
      <c r="M84" s="1117">
        <f>'Inv 1'!R19</f>
        <v>8.6929274333777409E-2</v>
      </c>
      <c r="V84" s="76" t="s">
        <v>648</v>
      </c>
      <c r="W84" s="32">
        <f>+SUM(W72,W75,W83)</f>
        <v>14781939.271216251</v>
      </c>
      <c r="X84" s="32">
        <f>+SUM(X72,X75,X83)</f>
        <v>15012335.874060523</v>
      </c>
      <c r="AA84" t="s">
        <v>605</v>
      </c>
      <c r="AB84" s="27">
        <f>+INDEX(Recon!$G$6:$AH$46,MATCH("Less: MTM investment adjustments",Recon!$H$6:$H$46,0),MATCH(IR!E$2,Recon!$G$4:$AH$4,0))</f>
        <v>0</v>
      </c>
      <c r="AC84" s="27">
        <f>+INDEX(Recon!$G$6:$AH$46,MATCH("Less: MTM investment adjustments",Recon!$H$6:$H$46,0),MATCH(IR!F$2,Recon!$G$4:$AH$4,0))</f>
        <v>181.86385999999999</v>
      </c>
    </row>
    <row r="85" spans="2:30" ht="15.6" thickTop="1" thickBot="1">
      <c r="B85" s="1195"/>
      <c r="D85" s="1196"/>
      <c r="J85" s="1193" t="s">
        <v>363</v>
      </c>
      <c r="K85" s="1193"/>
      <c r="L85" s="1193"/>
      <c r="M85" s="1117">
        <f>'Inv 1'!R20</f>
        <v>6.4383791533377489E-4</v>
      </c>
      <c r="AA85" s="70" t="s">
        <v>163</v>
      </c>
      <c r="AB85" s="32">
        <f>+INDEX(CNO!$G$6:$AH$32,MATCH("Adjusted operating revenues",CNO!$H$6:$H$32,0),MATCH(IR!E$2,CNO!$G$4:$AH$4,0))</f>
        <v>59250.42827443323</v>
      </c>
      <c r="AC85" s="32">
        <f>+INDEX(CNO!$G$6:$AH$32,MATCH("Adjusted operating revenues",CNO!$H$6:$H$32,0),MATCH(IR!F$2,CNO!$G$4:$AH$4,0))</f>
        <v>55887.23802058708</v>
      </c>
      <c r="AD85" s="23">
        <f>+AB85/AC85-1</f>
        <v>6.017814393703369E-2</v>
      </c>
    </row>
    <row r="86" spans="2:30" ht="15" thickTop="1">
      <c r="B86" s="1195"/>
      <c r="AA86" t="s">
        <v>549</v>
      </c>
    </row>
    <row r="87" spans="2:30">
      <c r="B87" s="1195"/>
      <c r="C87" s="58" t="s">
        <v>660</v>
      </c>
      <c r="D87" s="66"/>
      <c r="E87" s="64" t="s">
        <v>332</v>
      </c>
      <c r="F87" s="64" t="s">
        <v>333</v>
      </c>
      <c r="G87" s="64" t="s">
        <v>334</v>
      </c>
      <c r="AA87" t="s">
        <v>882</v>
      </c>
      <c r="AB87" s="24">
        <f>INDEX(Recon!$G$6:$AH$44,MATCH("Income before income taxes",Recon!$H$6:$H$44,0),MATCH(IR!E$2,Recon!$G$4:$AH$4,0))</f>
        <v>5522.9679317809278</v>
      </c>
      <c r="AC87" s="24">
        <f>INDEX(Recon!$G$6:$AH$44,MATCH("Income before income taxes",Recon!$H$6:$H$44,0),MATCH(IR!F$2,Recon!$G$4:$AH$4,0))</f>
        <v>63.725064043806924</v>
      </c>
      <c r="AD87" s="23">
        <f>+AB87/AC87-1</f>
        <v>85.668691740886118</v>
      </c>
    </row>
    <row r="88" spans="2:30">
      <c r="B88" s="1195"/>
      <c r="D88" t="s">
        <v>662</v>
      </c>
      <c r="E88" s="57">
        <f>+INDEX('Inv 1'!$I$58:$T$63,MATCH(E$87,'Inv 1'!$I$58:$I$63,0),MATCH("market",'Inv 1'!$I$5:$T$5,0))/1000</f>
        <v>493.85208561999502</v>
      </c>
      <c r="F88" s="57">
        <f>+INDEX('Inv 1'!$I$58:$T$63,MATCH(F$87,'Inv 1'!$I$58:$I$63,0),MATCH("market",'Inv 1'!$I$5:$T$5,0))/1000</f>
        <v>244.51329542000099</v>
      </c>
      <c r="G88" s="57">
        <f>+INDEX('Inv 1'!$I$58:$T$63,MATCH(G$87,'Inv 1'!$I$58:$I$63,0),MATCH("market",'Inv 1'!$I$5:$T$5,0))/1000</f>
        <v>862.92973760998689</v>
      </c>
      <c r="AA88" t="s">
        <v>861</v>
      </c>
      <c r="AB88" s="24">
        <f>INDEX(Recon!$G$6:$AH$44,MATCH("Less: Investment (losses) gains",Recon!$H$6:$H$44,0),MATCH(IR!E$2,Recon!$G$4:$AH$4,0))</f>
        <v>1690.7668738471536</v>
      </c>
      <c r="AC88" s="24">
        <f>INDEX(Recon!$G$6:$AH$44,MATCH("Less: Investment (losses) gains",Recon!$H$6:$H$44,0),MATCH(IR!F$2,Recon!$G$4:$AH$4,0))</f>
        <v>-2865.960541993572</v>
      </c>
    </row>
    <row r="89" spans="2:30">
      <c r="B89" s="1195"/>
      <c r="D89" t="s">
        <v>657</v>
      </c>
      <c r="E89" s="16">
        <f>+INDEX('Inv 1'!$I$58:$T$63,MATCH(E$87,'Inv 1'!$I$58:$I$63,0),MATCH("book",'Inv 1'!$I$5:$T$5,0))</f>
        <v>3.965077904571758E-2</v>
      </c>
      <c r="F89" s="16">
        <f>+INDEX('Inv 1'!$I$58:$T$63,MATCH(F$87,'Inv 1'!$I$58:$I$63,0),MATCH("book",'Inv 1'!$I$5:$T$5,0))</f>
        <v>3.8559770507242144E-2</v>
      </c>
      <c r="G89" s="16">
        <f>+INDEX('Inv 1'!$I$58:$T$63,MATCH(G$87,'Inv 1'!$I$58:$I$63,0),MATCH("book",'Inv 1'!$I$5:$T$5,0))</f>
        <v>4.1258444471143831E-2</v>
      </c>
      <c r="H89" s="64" t="s">
        <v>335</v>
      </c>
      <c r="I89" s="64" t="s">
        <v>336</v>
      </c>
      <c r="AA89" t="s">
        <v>605</v>
      </c>
      <c r="AB89" s="24">
        <f>INDEX(Recon!$G$6:$AH$44,MATCH("Less: MTM investment adjustments",Recon!$H$6:$H$44,0),MATCH(IR!E$2,Recon!$G$4:$AH$4,0))</f>
        <v>0</v>
      </c>
      <c r="AC89" s="24">
        <f>INDEX(Recon!$G$6:$AH$44,MATCH("Less: MTM investment adjustments",Recon!$H$6:$H$44,0),MATCH(IR!F$2,Recon!$G$4:$AH$4,0))</f>
        <v>181.86385999999999</v>
      </c>
    </row>
    <row r="90" spans="2:30" ht="15" thickBot="1">
      <c r="B90" s="1195"/>
      <c r="H90" s="57">
        <f>+INDEX('Inv 1'!$I$58:$T$63,MATCH(H$89,'Inv 1'!$I$58:$I$63,0),MATCH("market",'Inv 1'!$I$5:$T$5,0))/1000</f>
        <v>1140.9310345299969</v>
      </c>
      <c r="I90" s="57">
        <f>+INDEX('Inv 1'!$I$58:$T$63,MATCH(I$89,'Inv 1'!$I$58:$I$63,0),MATCH("market",'Inv 1'!$I$5:$T$5,0))/1000</f>
        <v>761.83163464999586</v>
      </c>
      <c r="AA90" s="70" t="s">
        <v>663</v>
      </c>
      <c r="AB90" s="32">
        <f>+AB87-SUM(AB88:AB89)</f>
        <v>3832.2010579337739</v>
      </c>
      <c r="AC90" s="32">
        <f>+AC87-SUM(AC88:AC89)</f>
        <v>2747.8217460373789</v>
      </c>
      <c r="AD90" s="23">
        <f>+AB90/AC90-1</f>
        <v>0.39463233503416784</v>
      </c>
    </row>
    <row r="91" spans="2:30" ht="15.75" customHeight="1" thickTop="1">
      <c r="B91" s="1195"/>
      <c r="H91" s="16">
        <f>+INDEX('Inv 1'!$I$58:$T$63,MATCH(H$89,'Inv 1'!$I$58:$I$63,0),MATCH("book",'Inv 1'!$I$5:$T$5,0))</f>
        <v>4.3695278260555755E-2</v>
      </c>
      <c r="I91" s="16">
        <f>+INDEX('Inv 1'!$I$58:$T$63,MATCH(I$89,'Inv 1'!$I$58:$I$63,0),MATCH("book",'Inv 1'!$I$5:$T$5,0))</f>
        <v>5.3150243591943237E-2</v>
      </c>
    </row>
    <row r="92" spans="2:30">
      <c r="B92" s="1195"/>
    </row>
    <row r="93" spans="2:30">
      <c r="B93" s="1195"/>
      <c r="AA93" s="1194" t="s">
        <v>885</v>
      </c>
      <c r="AB93" s="1194"/>
      <c r="AC93" s="1194"/>
      <c r="AD93" s="1194"/>
    </row>
    <row r="95" spans="2:30">
      <c r="AB95" s="3" t="str">
        <f>+_xlfn.CONCAT(CHOOSE(RIGHT($A$1,1),"March 31","June 30","September 30","December 31"),", ",$B$1)</f>
        <v>June 30, 2026</v>
      </c>
      <c r="AC95" s="3" t="str">
        <f>+_xlfn.CONCAT("December 31, ",B1-1)</f>
        <v>December 31, 2025</v>
      </c>
      <c r="AD95" s="3" t="s">
        <v>532</v>
      </c>
    </row>
    <row r="96" spans="2:30">
      <c r="AA96" t="s">
        <v>664</v>
      </c>
      <c r="AB96" s="24">
        <f>+INDEX(BS!$G$6:$W$62,MATCH("Total stockholders’ equity*",BS!$J$6:$J$62,0),MATCH(E$3,BS!$G$4:$W$4,0))</f>
        <v>2522953.4287755913</v>
      </c>
      <c r="AC96" s="24">
        <f>+INDEX(BS!$G$6:$W$62,MATCH("Total stockholders’ equity*",BS!$J$6:$J$62,0),MATCH(F$3,BS!$G$4:$W$4,0))</f>
        <v>2307516.4313716446</v>
      </c>
      <c r="AD96" s="23">
        <f>+AB96/AC96-1</f>
        <v>9.3363147700701532E-2</v>
      </c>
    </row>
    <row r="97" spans="27:32">
      <c r="AA97" t="s">
        <v>665</v>
      </c>
    </row>
    <row r="98" spans="27:32">
      <c r="AA98" s="76" t="s">
        <v>670</v>
      </c>
      <c r="AB98" s="27">
        <f>+INDEX(BS!$G$6:$W$62,MATCH("Less: Net unrealized gains (losses)",BS!$H$6:$H$62,0),MATCH(E$3,BS!$G$4:$W$4,0))</f>
        <v>-110635.45735</v>
      </c>
      <c r="AC98" s="27">
        <f>+INDEX(BS!$G$6:$W$62,MATCH("Less: Net unrealized gains (losses)",BS!$H$6:$H$62,0),MATCH(F$3,BS!$G$4:$W$4,0))</f>
        <v>-124629.05531</v>
      </c>
    </row>
    <row r="99" spans="27:32">
      <c r="AA99" s="115" t="s">
        <v>883</v>
      </c>
      <c r="AB99" s="27"/>
      <c r="AC99" s="27"/>
    </row>
    <row r="100" spans="27:32">
      <c r="AA100" s="76" t="s">
        <v>884</v>
      </c>
      <c r="AB100" s="27">
        <f>+INDEX(BS!$G$6:$W$62,MATCH("Less: Effect of change in discount rate assumptions on the liability for future policy benefits",BS!$H$6:$H$62,0),MATCH(E$3,BS!$G$4:$W$4,0))</f>
        <v>190795.67458000002</v>
      </c>
      <c r="AC100" s="27">
        <f>+INDEX(BS!$G$6:$W$62,MATCH("Less: Effect of change in discount rate assumptions on the liability for future policy benefits",BS!$H$6:$H$62,0),MATCH(F$3,BS!$G$4:$W$4,0))</f>
        <v>174626.27707000001</v>
      </c>
    </row>
    <row r="101" spans="27:32" ht="15" thickBot="1">
      <c r="AA101" t="s">
        <v>547</v>
      </c>
      <c r="AB101" s="32">
        <f>+AB96-SUM(AB98:AB100)</f>
        <v>2442793.2115455912</v>
      </c>
      <c r="AC101" s="32">
        <f>+AC96-SUM(AC98:AC100)</f>
        <v>2257519.2096116445</v>
      </c>
      <c r="AD101" s="23">
        <f>+AB101/AC101-1</f>
        <v>8.2069734399212058E-2</v>
      </c>
    </row>
    <row r="102" spans="27:32" ht="15" thickTop="1"/>
    <row r="111" spans="27:32">
      <c r="AF111" s="90"/>
    </row>
    <row r="124" ht="30" customHeight="1"/>
  </sheetData>
  <mergeCells count="36">
    <mergeCell ref="W68:X68"/>
    <mergeCell ref="W62:X64"/>
    <mergeCell ref="V4:Y4"/>
    <mergeCell ref="AA4:AC4"/>
    <mergeCell ref="V17:Y17"/>
    <mergeCell ref="W38:X45"/>
    <mergeCell ref="W47:X47"/>
    <mergeCell ref="W51:X54"/>
    <mergeCell ref="AA41:AC41"/>
    <mergeCell ref="J24:M24"/>
    <mergeCell ref="J28:M28"/>
    <mergeCell ref="J36:M36"/>
    <mergeCell ref="O36:R36"/>
    <mergeCell ref="V33:X33"/>
    <mergeCell ref="AA93:AD93"/>
    <mergeCell ref="AA79:AD79"/>
    <mergeCell ref="AA67:AD67"/>
    <mergeCell ref="B76:B93"/>
    <mergeCell ref="D84:D85"/>
    <mergeCell ref="O76:R76"/>
    <mergeCell ref="O77:Q77"/>
    <mergeCell ref="O78:Q78"/>
    <mergeCell ref="O79:Q79"/>
    <mergeCell ref="O80:Q80"/>
    <mergeCell ref="O81:Q81"/>
    <mergeCell ref="J83:L83"/>
    <mergeCell ref="J84:L84"/>
    <mergeCell ref="J85:L85"/>
    <mergeCell ref="J76:M76"/>
    <mergeCell ref="O82:Q82"/>
    <mergeCell ref="J82:L82"/>
    <mergeCell ref="J77:L77"/>
    <mergeCell ref="J78:L78"/>
    <mergeCell ref="J79:L79"/>
    <mergeCell ref="J80:L80"/>
    <mergeCell ref="J81:L81"/>
  </mergeCells>
  <dataValidations count="1">
    <dataValidation type="list" allowBlank="1" showInputMessage="1" showErrorMessage="1" sqref="A1" xr:uid="{C0FEC6A7-9D22-40EE-A3FB-B37C98C03B7B}">
      <formula1>$J$2:$M$2</formula1>
    </dataValidation>
  </dataValidations>
  <pageMargins left="0.7" right="0.7" top="0.75" bottom="0.75" header="0.3" footer="0.3"/>
  <pageSetup orientation="portrait" verticalDpi="0" r:id="rId1"/>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AC19-DD3A-41A2-AAD7-145A607EF469}">
  <sheetPr>
    <tabColor theme="2" tint="-9.9978637043366805E-2"/>
    <pageSetUpPr fitToPage="1"/>
  </sheetPr>
  <dimension ref="A1:K41"/>
  <sheetViews>
    <sheetView tabSelected="1" zoomScale="90" zoomScaleNormal="90" workbookViewId="0"/>
  </sheetViews>
  <sheetFormatPr defaultColWidth="9.109375" defaultRowHeight="15" customHeight="1"/>
  <cols>
    <col min="1" max="1" width="9.109375" style="146"/>
    <col min="2" max="2" width="10.109375" style="146" customWidth="1"/>
    <col min="3" max="9" width="9.109375" style="146"/>
    <col min="10" max="10" width="11.6640625" style="146" customWidth="1"/>
    <col min="11" max="16384" width="9.109375" style="146"/>
  </cols>
  <sheetData>
    <row r="1" spans="1:11" ht="15" customHeight="1">
      <c r="A1" s="1121"/>
      <c r="B1" s="1121"/>
      <c r="C1" s="1121"/>
      <c r="E1" s="409"/>
    </row>
    <row r="2" spans="1:11" ht="15" customHeight="1">
      <c r="A2" s="1122"/>
      <c r="B2" s="1122"/>
      <c r="C2" s="1122"/>
    </row>
    <row r="16" spans="1:11" ht="37.200000000000003">
      <c r="A16" s="1124" t="s">
        <v>522</v>
      </c>
      <c r="B16" s="1124"/>
      <c r="C16" s="1124"/>
      <c r="D16" s="1124"/>
      <c r="E16" s="1124"/>
      <c r="F16" s="1124"/>
      <c r="G16" s="1124"/>
      <c r="H16" s="1124"/>
      <c r="I16" s="1124"/>
      <c r="J16" s="1124"/>
      <c r="K16" s="271"/>
    </row>
    <row r="17" spans="1:11" ht="37.200000000000003">
      <c r="A17" s="1124" t="str">
        <f>+_xlfn.CONCAT(CHOOSE(RIGHT(LEFT(Manual!D1,2),1),"First", "Second", "Third", "Fourth")," Quarter ",RIGHT(Manual!D1,4))</f>
        <v>Second Quarter 2026</v>
      </c>
      <c r="B17" s="1124"/>
      <c r="C17" s="1124"/>
      <c r="D17" s="1124"/>
      <c r="E17" s="1124"/>
      <c r="F17" s="1124"/>
      <c r="G17" s="1124"/>
      <c r="H17" s="1124"/>
      <c r="I17" s="1124"/>
      <c r="J17" s="1124"/>
      <c r="K17" s="271"/>
    </row>
    <row r="18" spans="1:11" ht="15" customHeight="1">
      <c r="A18" s="416"/>
      <c r="B18" s="416"/>
      <c r="C18" s="416"/>
      <c r="D18" s="416"/>
      <c r="E18" s="416"/>
      <c r="F18" s="416"/>
      <c r="G18" s="416"/>
      <c r="H18" s="416"/>
      <c r="I18" s="416"/>
      <c r="J18" s="416"/>
      <c r="K18" s="271"/>
    </row>
    <row r="19" spans="1:11" ht="15" customHeight="1">
      <c r="K19" s="271"/>
    </row>
    <row r="21" spans="1:11" ht="15" customHeight="1">
      <c r="K21" s="271"/>
    </row>
    <row r="23" spans="1:11" ht="15" customHeight="1">
      <c r="A23" s="564"/>
      <c r="B23" s="564"/>
      <c r="C23" s="564"/>
      <c r="D23" s="564"/>
      <c r="E23" s="564"/>
      <c r="F23" s="564"/>
      <c r="G23" s="564"/>
      <c r="H23" s="564"/>
      <c r="I23" s="564"/>
      <c r="J23" s="564"/>
    </row>
    <row r="24" spans="1:11" ht="15" customHeight="1">
      <c r="A24"/>
      <c r="B24"/>
      <c r="C24"/>
      <c r="D24"/>
      <c r="E24"/>
      <c r="F24"/>
      <c r="G24"/>
      <c r="H24"/>
      <c r="I24"/>
      <c r="J24"/>
    </row>
    <row r="25" spans="1:11" ht="15" customHeight="1">
      <c r="A25"/>
      <c r="B25"/>
      <c r="C25"/>
      <c r="D25"/>
      <c r="E25"/>
      <c r="F25"/>
      <c r="G25"/>
      <c r="H25"/>
      <c r="I25"/>
      <c r="J25"/>
    </row>
    <row r="26" spans="1:11" ht="15" customHeight="1">
      <c r="A26"/>
      <c r="B26"/>
      <c r="C26"/>
      <c r="D26"/>
      <c r="E26"/>
      <c r="F26"/>
      <c r="G26"/>
      <c r="H26"/>
      <c r="I26"/>
      <c r="J26"/>
    </row>
    <row r="27" spans="1:11" ht="15" customHeight="1">
      <c r="A27"/>
      <c r="B27"/>
      <c r="C27"/>
      <c r="D27"/>
      <c r="E27"/>
      <c r="F27"/>
      <c r="G27"/>
      <c r="H27"/>
      <c r="I27"/>
      <c r="J27"/>
    </row>
    <row r="40" spans="1:10" ht="15" customHeight="1">
      <c r="A40" s="1123"/>
      <c r="B40" s="1123"/>
      <c r="C40" s="1123"/>
      <c r="D40" s="1123"/>
      <c r="E40" s="1123"/>
      <c r="F40" s="1123"/>
      <c r="G40" s="1123"/>
      <c r="H40" s="1123"/>
      <c r="I40" s="1123"/>
      <c r="J40" s="1123"/>
    </row>
    <row r="41" spans="1:10" ht="15" customHeight="1">
      <c r="A41" s="1123"/>
      <c r="B41" s="1123"/>
      <c r="C41" s="1123"/>
      <c r="D41" s="1123"/>
      <c r="E41" s="1123"/>
      <c r="F41" s="1123"/>
      <c r="G41" s="1123"/>
      <c r="H41" s="1123"/>
      <c r="I41" s="1123"/>
      <c r="J41" s="1123"/>
    </row>
  </sheetData>
  <sheetProtection formatCells="0"/>
  <mergeCells count="4">
    <mergeCell ref="A40:J40"/>
    <mergeCell ref="A41:J41"/>
    <mergeCell ref="A16:J16"/>
    <mergeCell ref="A17:J17"/>
  </mergeCells>
  <printOptions horizontalCentered="1" verticalCentered="1"/>
  <pageMargins left="0.15" right="0.15" top="0.15" bottom="0.15" header="0" footer="0.15"/>
  <pageSetup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0880-0C49-4893-BCD3-992BCB966395}">
  <sheetPr>
    <tabColor theme="2" tint="-9.9978637043366805E-2"/>
    <pageSetUpPr fitToPage="1"/>
  </sheetPr>
  <dimension ref="A1:K40"/>
  <sheetViews>
    <sheetView zoomScale="90" zoomScaleNormal="90" zoomScaleSheetLayoutView="90" workbookViewId="0"/>
  </sheetViews>
  <sheetFormatPr defaultColWidth="9.109375" defaultRowHeight="12.9" customHeight="1"/>
  <cols>
    <col min="1" max="2" width="4" style="147" customWidth="1"/>
    <col min="3" max="3" width="163.44140625" style="147" customWidth="1"/>
    <col min="4" max="4" width="11.33203125" style="370" customWidth="1"/>
    <col min="5" max="9" width="11.33203125" style="147" customWidth="1"/>
    <col min="10" max="10" width="4" style="147" customWidth="1"/>
    <col min="11" max="11" width="5.88671875" style="147" customWidth="1"/>
    <col min="12" max="13" width="9.109375" style="147"/>
    <col min="14" max="14" width="8.44140625" style="147" customWidth="1"/>
    <col min="15" max="15" width="2.6640625" style="147" customWidth="1"/>
    <col min="16" max="16384" width="9.109375" style="147"/>
  </cols>
  <sheetData>
    <row r="1" spans="1:10" s="188" customFormat="1" ht="39.9" customHeight="1" thickBot="1">
      <c r="A1" s="393"/>
      <c r="B1" s="1125" t="s">
        <v>681</v>
      </c>
      <c r="C1" s="1125"/>
      <c r="D1" s="1125"/>
      <c r="E1" s="1125"/>
      <c r="F1" s="1125"/>
      <c r="G1" s="1125"/>
      <c r="H1" s="1126" t="s">
        <v>752</v>
      </c>
      <c r="I1" s="1126"/>
      <c r="J1" s="1126"/>
    </row>
    <row r="2" spans="1:10" s="188" customFormat="1" ht="24.9" customHeight="1" thickTop="1">
      <c r="A2" s="394"/>
      <c r="B2" s="395"/>
      <c r="C2" s="396"/>
      <c r="D2" s="397"/>
      <c r="E2" s="398"/>
      <c r="F2" s="398"/>
      <c r="G2" s="398"/>
      <c r="H2" s="398"/>
      <c r="I2" s="398"/>
      <c r="J2" s="398"/>
    </row>
    <row r="3" spans="1:10" ht="24.9" customHeight="1">
      <c r="C3" s="399"/>
      <c r="D3" s="400" t="s">
        <v>523</v>
      </c>
      <c r="E3" s="399"/>
    </row>
    <row r="4" spans="1:10" ht="24.9" customHeight="1">
      <c r="C4" s="401" t="s">
        <v>842</v>
      </c>
      <c r="D4" s="402">
        <v>3</v>
      </c>
      <c r="E4" s="399"/>
    </row>
    <row r="5" spans="1:10" ht="24.9" customHeight="1">
      <c r="C5" s="399"/>
      <c r="D5" s="402"/>
      <c r="E5" s="399"/>
    </row>
    <row r="6" spans="1:10" ht="24.9" customHeight="1">
      <c r="C6" s="401" t="s">
        <v>683</v>
      </c>
      <c r="D6" s="402">
        <v>4</v>
      </c>
      <c r="E6" s="399"/>
    </row>
    <row r="7" spans="1:10" ht="24.9" customHeight="1">
      <c r="C7" s="399"/>
      <c r="D7" s="403"/>
      <c r="E7" s="399"/>
    </row>
    <row r="8" spans="1:10" ht="24.9" customHeight="1">
      <c r="C8" s="401" t="s">
        <v>684</v>
      </c>
      <c r="D8" s="402">
        <v>5</v>
      </c>
      <c r="E8" s="399"/>
    </row>
    <row r="9" spans="1:10" ht="24.9" customHeight="1">
      <c r="C9" s="399"/>
      <c r="D9" s="402"/>
      <c r="E9" s="399"/>
    </row>
    <row r="10" spans="1:10" ht="24.9" customHeight="1">
      <c r="C10" s="401" t="s">
        <v>685</v>
      </c>
      <c r="D10" s="402">
        <v>6</v>
      </c>
      <c r="E10" s="399"/>
    </row>
    <row r="11" spans="1:10" ht="24.9" customHeight="1">
      <c r="C11" s="399"/>
      <c r="D11" s="404"/>
      <c r="E11" s="399"/>
    </row>
    <row r="12" spans="1:10" ht="24.9" customHeight="1">
      <c r="C12" s="401" t="s">
        <v>686</v>
      </c>
      <c r="D12" s="404" t="s">
        <v>911</v>
      </c>
      <c r="E12" s="399"/>
    </row>
    <row r="13" spans="1:10" ht="24.9" customHeight="1">
      <c r="C13" s="399"/>
      <c r="D13" s="402"/>
      <c r="E13" s="399"/>
    </row>
    <row r="14" spans="1:10" ht="24.9" customHeight="1">
      <c r="C14" s="405" t="s">
        <v>524</v>
      </c>
      <c r="D14" s="404"/>
      <c r="E14" s="399"/>
    </row>
    <row r="15" spans="1:10" ht="24.9" customHeight="1">
      <c r="C15" s="406" t="s">
        <v>843</v>
      </c>
      <c r="D15" s="404" t="s">
        <v>912</v>
      </c>
      <c r="E15" s="399"/>
    </row>
    <row r="16" spans="1:10" ht="24.9" customHeight="1">
      <c r="C16" s="406" t="s">
        <v>689</v>
      </c>
      <c r="D16" s="404" t="s">
        <v>913</v>
      </c>
      <c r="E16" s="399"/>
    </row>
    <row r="17" spans="3:5" ht="24.9" customHeight="1">
      <c r="C17" s="406" t="s">
        <v>690</v>
      </c>
      <c r="D17" s="402">
        <v>12</v>
      </c>
      <c r="E17" s="399"/>
    </row>
    <row r="18" spans="3:5" ht="24.9" customHeight="1">
      <c r="C18" s="399"/>
      <c r="D18" s="402"/>
      <c r="E18" s="399"/>
    </row>
    <row r="19" spans="3:5" ht="24.9" customHeight="1">
      <c r="C19" s="401" t="s">
        <v>687</v>
      </c>
      <c r="D19" s="404" t="s">
        <v>914</v>
      </c>
      <c r="E19" s="399"/>
    </row>
    <row r="20" spans="3:5" ht="24.9" customHeight="1">
      <c r="C20" s="399"/>
      <c r="D20" s="402"/>
      <c r="E20" s="399"/>
    </row>
    <row r="21" spans="3:5" ht="24.9" customHeight="1">
      <c r="C21" s="401" t="s">
        <v>688</v>
      </c>
      <c r="D21" s="402">
        <v>16</v>
      </c>
      <c r="E21" s="399"/>
    </row>
    <row r="22" spans="3:5" ht="24.9" customHeight="1">
      <c r="C22" s="399"/>
      <c r="D22" s="402"/>
      <c r="E22" s="399"/>
    </row>
    <row r="23" spans="3:5" ht="24.9" customHeight="1">
      <c r="C23" s="399"/>
      <c r="D23" s="402"/>
      <c r="E23" s="399"/>
    </row>
    <row r="24" spans="3:5" ht="24.9" customHeight="1">
      <c r="C24" s="399"/>
      <c r="D24" s="402"/>
      <c r="E24" s="399"/>
    </row>
    <row r="25" spans="3:5" ht="24.9" customHeight="1"/>
    <row r="26" spans="3:5" ht="24.9" customHeight="1"/>
    <row r="27" spans="3:5" ht="24.9" customHeight="1"/>
    <row r="28" spans="3:5" ht="24.9" customHeight="1"/>
    <row r="29" spans="3:5" ht="24.9" customHeight="1"/>
    <row r="30" spans="3:5" ht="24.9" customHeight="1"/>
    <row r="31" spans="3:5" ht="24.9" customHeight="1"/>
    <row r="32" spans="3:5" ht="24.9" customHeight="1"/>
    <row r="33" spans="1:11" ht="24.9" customHeight="1"/>
    <row r="34" spans="1:11" ht="24.9" customHeight="1"/>
    <row r="35" spans="1:11" ht="24.9" customHeight="1"/>
    <row r="36" spans="1:11" ht="24.9" customHeight="1">
      <c r="A36" s="324"/>
      <c r="B36" s="324"/>
      <c r="C36" s="324"/>
      <c r="D36" s="407"/>
      <c r="E36" s="324"/>
      <c r="F36" s="324"/>
      <c r="G36" s="324"/>
      <c r="H36" s="324"/>
      <c r="I36" s="324"/>
      <c r="J36" s="324"/>
    </row>
    <row r="37" spans="1:11" ht="24.9" customHeight="1">
      <c r="B37" s="1127" t="s">
        <v>918</v>
      </c>
      <c r="C37" s="1127"/>
      <c r="D37" s="1127"/>
      <c r="E37" s="1127"/>
      <c r="F37" s="1127"/>
      <c r="G37" s="1127"/>
      <c r="H37" s="1127"/>
      <c r="I37" s="1127"/>
      <c r="J37" s="408"/>
      <c r="K37" s="408"/>
    </row>
    <row r="38" spans="1:11" ht="24.9" customHeight="1">
      <c r="B38" s="1127"/>
      <c r="C38" s="1127"/>
      <c r="D38" s="1127"/>
      <c r="E38" s="1127"/>
      <c r="F38" s="1127"/>
      <c r="G38" s="1127"/>
      <c r="H38" s="1127"/>
      <c r="I38" s="1127"/>
      <c r="J38" s="408"/>
      <c r="K38" s="408"/>
    </row>
    <row r="39" spans="1:11" ht="15" customHeight="1">
      <c r="B39" s="408"/>
      <c r="C39" s="408"/>
      <c r="D39" s="408"/>
      <c r="E39" s="408"/>
      <c r="F39" s="408"/>
      <c r="G39" s="408"/>
      <c r="H39" s="408"/>
      <c r="I39" s="408"/>
      <c r="J39" s="408"/>
      <c r="K39" s="408"/>
    </row>
    <row r="40" spans="1:11" ht="15" customHeight="1"/>
  </sheetData>
  <mergeCells count="3">
    <mergeCell ref="B1:G1"/>
    <mergeCell ref="H1:J1"/>
    <mergeCell ref="B37:I38"/>
  </mergeCells>
  <pageMargins left="0.15" right="0.15" top="0.15" bottom="0.15" header="0.15" footer="0.15"/>
  <pageSetup scale="56" orientation="landscape" cellComments="asDisplayed" r:id="rId1"/>
  <headerFooter differentFirst="1" alignWithMargins="0">
    <oddFooter>Page &amp;P of &amp;N</oddFooter>
  </headerFooter>
  <rowBreaks count="1" manualBreakCount="1">
    <brk id="38" max="16383" man="1"/>
  </rowBreaks>
  <colBreaks count="1" manualBreakCount="1">
    <brk id="10" max="66" man="1"/>
  </colBreaks>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496C-51E7-46B4-8DC5-7419A44B223F}">
  <sheetPr>
    <tabColor theme="2" tint="-9.9978637043366805E-2"/>
    <pageSetUpPr fitToPage="1"/>
  </sheetPr>
  <dimension ref="A1:P77"/>
  <sheetViews>
    <sheetView zoomScale="90" zoomScaleNormal="90" zoomScaleSheetLayoutView="90" workbookViewId="0"/>
  </sheetViews>
  <sheetFormatPr defaultColWidth="9.109375" defaultRowHeight="13.8"/>
  <cols>
    <col min="1" max="1" width="4.109375" style="146" customWidth="1"/>
    <col min="2" max="13" width="17.88671875" style="146" customWidth="1"/>
    <col min="14" max="14" width="4.109375" style="146" customWidth="1"/>
    <col min="15" max="15" width="18" style="146" customWidth="1"/>
    <col min="16" max="16384" width="9.109375" style="146"/>
  </cols>
  <sheetData>
    <row r="1" spans="1:16" ht="39.9" customHeight="1" thickBot="1">
      <c r="A1" s="193"/>
      <c r="B1" s="1128" t="s">
        <v>682</v>
      </c>
      <c r="C1" s="1128"/>
      <c r="D1" s="1128"/>
      <c r="E1" s="1128"/>
      <c r="F1" s="1128"/>
      <c r="G1" s="1128"/>
      <c r="H1" s="1128"/>
      <c r="I1" s="1128"/>
      <c r="J1" s="1128"/>
      <c r="K1" s="1128"/>
      <c r="L1" s="1129" t="s">
        <v>752</v>
      </c>
      <c r="M1" s="1129"/>
      <c r="N1" s="1129"/>
    </row>
    <row r="2" spans="1:16" ht="15" customHeight="1">
      <c r="A2" s="144"/>
      <c r="B2" s="144"/>
      <c r="C2" s="144"/>
    </row>
    <row r="3" spans="1:16" ht="15" customHeight="1">
      <c r="B3" s="1130" t="str">
        <f>+_xlfn.CONCAT(CHOOSE(RIGHT(LEFT(BS!$B$1,2),1),"FIRST","SECOND","THIRD","FOURTH",)," QUARTER ",RIGHT(BS!B1,4))</f>
        <v>SECOND QUARTER 2026</v>
      </c>
      <c r="C3" s="1130"/>
      <c r="D3" s="1130"/>
      <c r="E3" s="1130"/>
      <c r="F3" s="1130"/>
      <c r="G3" s="1130"/>
      <c r="H3" s="1130"/>
      <c r="I3" s="1130"/>
      <c r="J3" s="1130"/>
      <c r="K3" s="1130"/>
      <c r="L3" s="1130"/>
      <c r="M3" s="1130"/>
      <c r="N3" s="1054"/>
      <c r="O3" s="1054"/>
      <c r="P3" s="1054"/>
    </row>
    <row r="4" spans="1:16" ht="15" customHeight="1">
      <c r="B4" s="1130"/>
      <c r="C4" s="1130"/>
      <c r="D4" s="1130"/>
      <c r="E4" s="1130"/>
      <c r="F4" s="1130"/>
      <c r="G4" s="1130"/>
      <c r="H4" s="1130"/>
      <c r="I4" s="1130"/>
      <c r="J4" s="1130"/>
      <c r="K4" s="1130"/>
      <c r="L4" s="1130"/>
      <c r="M4" s="1130"/>
      <c r="N4" s="1054"/>
      <c r="O4" s="1054"/>
      <c r="P4" s="1054"/>
    </row>
    <row r="5" spans="1:16" ht="15" customHeight="1">
      <c r="B5" s="1130"/>
      <c r="C5" s="1130"/>
      <c r="D5" s="1130"/>
      <c r="E5" s="1130"/>
      <c r="F5" s="1130"/>
      <c r="G5" s="1130"/>
      <c r="H5" s="1130"/>
      <c r="I5" s="1130"/>
      <c r="J5" s="1130"/>
      <c r="K5" s="1130"/>
      <c r="L5" s="1130"/>
      <c r="M5" s="1130"/>
      <c r="N5" s="1054"/>
      <c r="O5" s="1054"/>
      <c r="P5" s="1054"/>
    </row>
    <row r="6" spans="1:16" ht="15" customHeight="1"/>
    <row r="7" spans="1:16" ht="15" customHeight="1">
      <c r="B7" s="414"/>
      <c r="C7" s="414"/>
      <c r="D7" s="414"/>
      <c r="E7" s="414"/>
      <c r="F7" s="414"/>
      <c r="G7" s="414"/>
      <c r="H7" s="414"/>
      <c r="I7" s="414"/>
      <c r="J7" s="414"/>
      <c r="K7" s="414"/>
      <c r="L7" s="414"/>
      <c r="M7" s="414"/>
    </row>
    <row r="8" spans="1:16" ht="15" customHeight="1">
      <c r="B8" s="414"/>
      <c r="C8" s="414"/>
      <c r="D8" s="414"/>
      <c r="E8" s="414"/>
      <c r="F8" s="414"/>
      <c r="G8" s="414"/>
      <c r="H8" s="414"/>
      <c r="I8" s="414"/>
      <c r="J8" s="414"/>
      <c r="K8" s="414"/>
      <c r="L8" s="414"/>
      <c r="M8" s="414"/>
    </row>
    <row r="9" spans="1:16" ht="15" customHeight="1">
      <c r="B9" s="414"/>
      <c r="C9" s="414"/>
      <c r="D9" s="414"/>
      <c r="E9" s="414"/>
      <c r="F9" s="414"/>
      <c r="G9" s="414"/>
      <c r="H9" s="414"/>
      <c r="I9" s="414"/>
      <c r="J9" s="414"/>
      <c r="K9" s="414"/>
      <c r="L9" s="414"/>
      <c r="M9" s="414"/>
    </row>
    <row r="10" spans="1:16" ht="15" customHeight="1">
      <c r="B10" s="414"/>
      <c r="C10" s="414"/>
      <c r="D10" s="414"/>
      <c r="E10" s="414"/>
      <c r="F10" s="414"/>
      <c r="G10" s="414"/>
      <c r="H10" s="414"/>
      <c r="I10" s="414"/>
      <c r="J10" s="414"/>
      <c r="K10" s="414"/>
      <c r="L10" s="414"/>
      <c r="M10" s="414"/>
    </row>
    <row r="11" spans="1:16" ht="15" customHeight="1">
      <c r="B11" s="414"/>
      <c r="C11" s="414"/>
      <c r="D11" s="414"/>
      <c r="E11" s="414"/>
      <c r="F11" s="414"/>
      <c r="G11" s="414"/>
      <c r="H11" s="414"/>
      <c r="I11" s="414"/>
      <c r="J11" s="414"/>
      <c r="K11" s="414"/>
      <c r="L11" s="414"/>
      <c r="M11" s="414"/>
    </row>
    <row r="12" spans="1:16" ht="15" customHeight="1">
      <c r="B12" s="414"/>
      <c r="C12" s="414"/>
      <c r="D12" s="414"/>
      <c r="E12" s="414"/>
      <c r="F12" s="414"/>
      <c r="G12" s="414"/>
      <c r="H12" s="414"/>
      <c r="I12" s="414"/>
      <c r="J12" s="414"/>
      <c r="K12" s="414"/>
      <c r="L12" s="414"/>
      <c r="M12" s="414"/>
    </row>
    <row r="13" spans="1:16" ht="15" customHeight="1">
      <c r="B13" s="414"/>
      <c r="C13" s="414"/>
      <c r="D13" s="414"/>
      <c r="E13" s="414"/>
      <c r="F13" s="414"/>
      <c r="G13" s="414"/>
      <c r="H13" s="414"/>
      <c r="I13" s="414"/>
      <c r="J13" s="414"/>
      <c r="K13" s="414"/>
      <c r="L13" s="414"/>
      <c r="M13" s="414"/>
    </row>
    <row r="14" spans="1:16" ht="15" customHeight="1">
      <c r="B14" s="414"/>
      <c r="C14" s="414"/>
      <c r="D14" s="414"/>
      <c r="E14" s="414"/>
      <c r="F14" s="414"/>
      <c r="G14" s="414"/>
      <c r="H14" s="414"/>
      <c r="I14" s="414"/>
      <c r="J14" s="414"/>
      <c r="K14" s="414"/>
      <c r="L14" s="414"/>
      <c r="M14" s="414"/>
    </row>
    <row r="15" spans="1:16" ht="15" customHeight="1">
      <c r="B15" s="414"/>
      <c r="C15" s="414"/>
      <c r="D15" s="414"/>
      <c r="E15" s="414"/>
      <c r="F15" s="414"/>
      <c r="G15" s="414"/>
      <c r="H15" s="414"/>
      <c r="I15" s="414"/>
      <c r="J15" s="414"/>
      <c r="K15" s="414"/>
      <c r="L15" s="414"/>
      <c r="M15" s="414"/>
    </row>
    <row r="16" spans="1:16" ht="15" customHeight="1">
      <c r="B16" s="414"/>
      <c r="C16" s="414"/>
      <c r="D16" s="414"/>
      <c r="E16" s="414"/>
      <c r="F16" s="414"/>
      <c r="G16" s="414"/>
      <c r="H16" s="414"/>
      <c r="I16" s="414"/>
      <c r="J16" s="414"/>
      <c r="K16" s="414"/>
      <c r="L16" s="414"/>
      <c r="M16" s="414"/>
    </row>
    <row r="17" spans="2:13" ht="15" customHeight="1">
      <c r="B17" s="414"/>
      <c r="C17" s="414"/>
      <c r="D17" s="414"/>
      <c r="E17" s="414"/>
      <c r="F17" s="414"/>
      <c r="G17" s="414"/>
      <c r="H17" s="414"/>
      <c r="I17" s="414"/>
      <c r="J17" s="414"/>
      <c r="K17" s="414"/>
      <c r="L17" s="414"/>
      <c r="M17" s="414"/>
    </row>
    <row r="18" spans="2:13" ht="15" customHeight="1">
      <c r="B18" s="414"/>
      <c r="C18" s="414"/>
      <c r="D18" s="414"/>
      <c r="E18" s="414"/>
      <c r="F18" s="414"/>
      <c r="G18" s="414"/>
      <c r="H18" s="414"/>
      <c r="I18" s="414"/>
      <c r="J18" s="414"/>
      <c r="K18" s="414"/>
      <c r="L18" s="414"/>
      <c r="M18" s="414"/>
    </row>
    <row r="19" spans="2:13" ht="15" customHeight="1">
      <c r="B19" s="414"/>
      <c r="C19" s="414"/>
      <c r="D19" s="414"/>
      <c r="E19" s="414"/>
      <c r="F19" s="414"/>
      <c r="G19" s="414"/>
      <c r="H19" s="414"/>
      <c r="I19" s="414"/>
      <c r="J19" s="414"/>
      <c r="K19" s="414"/>
      <c r="L19" s="414"/>
      <c r="M19" s="414"/>
    </row>
    <row r="20" spans="2:13" ht="15" customHeight="1">
      <c r="B20" s="414"/>
      <c r="C20" s="414"/>
      <c r="D20" s="414"/>
      <c r="E20" s="414"/>
      <c r="F20" s="414"/>
      <c r="G20" s="414"/>
      <c r="H20" s="414"/>
      <c r="I20" s="414"/>
      <c r="J20" s="414"/>
      <c r="K20" s="414"/>
      <c r="L20" s="414"/>
      <c r="M20" s="414"/>
    </row>
    <row r="21" spans="2:13" ht="15" customHeight="1">
      <c r="B21" s="414"/>
      <c r="C21" s="414"/>
      <c r="D21" s="414"/>
      <c r="E21" s="414"/>
      <c r="F21" s="414"/>
      <c r="G21" s="414"/>
      <c r="H21" s="414"/>
      <c r="I21" s="414"/>
      <c r="J21" s="414"/>
      <c r="K21" s="414"/>
      <c r="L21" s="414"/>
      <c r="M21" s="414"/>
    </row>
    <row r="22" spans="2:13" ht="15" customHeight="1">
      <c r="B22" s="414"/>
      <c r="C22" s="414"/>
      <c r="D22" s="414"/>
      <c r="E22" s="414"/>
      <c r="F22" s="414"/>
      <c r="G22" s="414"/>
      <c r="H22" s="414"/>
      <c r="I22" s="414"/>
      <c r="J22" s="414"/>
      <c r="K22" s="414"/>
      <c r="L22" s="414"/>
      <c r="M22" s="414"/>
    </row>
    <row r="23" spans="2:13" ht="15" customHeight="1">
      <c r="B23" s="413"/>
      <c r="C23" s="413"/>
      <c r="D23" s="413"/>
      <c r="E23" s="413"/>
      <c r="F23" s="413"/>
      <c r="G23" s="413"/>
      <c r="H23" s="413"/>
      <c r="I23" s="413"/>
      <c r="J23" s="413"/>
      <c r="K23" s="413"/>
      <c r="L23" s="413"/>
      <c r="M23" s="413"/>
    </row>
    <row r="24" spans="2:13" ht="15" customHeight="1">
      <c r="B24" s="413"/>
      <c r="C24" s="413"/>
      <c r="D24" s="413"/>
      <c r="E24" s="413"/>
      <c r="F24" s="413"/>
      <c r="G24" s="413"/>
      <c r="H24" s="413"/>
      <c r="I24" s="413"/>
      <c r="J24" s="413"/>
      <c r="K24" s="413"/>
      <c r="L24" s="413"/>
      <c r="M24" s="413"/>
    </row>
    <row r="25" spans="2:13" ht="15" customHeight="1">
      <c r="B25" s="413"/>
      <c r="C25" s="413"/>
      <c r="D25" s="413"/>
      <c r="E25" s="413"/>
      <c r="F25" s="413"/>
      <c r="G25" s="413"/>
      <c r="H25" s="413"/>
      <c r="I25" s="413"/>
      <c r="J25" s="413"/>
      <c r="K25" s="413"/>
      <c r="L25" s="413"/>
      <c r="M25" s="413"/>
    </row>
    <row r="26" spans="2:13" ht="15" customHeight="1">
      <c r="B26" s="413"/>
      <c r="C26" s="413"/>
      <c r="D26" s="413"/>
      <c r="E26" s="413"/>
      <c r="F26" s="413"/>
      <c r="G26" s="413"/>
      <c r="H26" s="413"/>
      <c r="I26" s="413"/>
      <c r="J26" s="413"/>
      <c r="K26" s="413"/>
      <c r="L26" s="413"/>
      <c r="M26" s="413"/>
    </row>
    <row r="27" spans="2:13" ht="15" customHeight="1">
      <c r="B27" s="413"/>
      <c r="C27" s="413"/>
      <c r="D27" s="413"/>
      <c r="E27" s="413"/>
      <c r="F27" s="413"/>
      <c r="G27" s="413"/>
      <c r="H27" s="413"/>
      <c r="I27" s="413"/>
      <c r="J27" s="413"/>
      <c r="K27" s="413"/>
      <c r="L27" s="413"/>
      <c r="M27" s="413"/>
    </row>
    <row r="28" spans="2:13" ht="15" customHeight="1">
      <c r="B28" s="413"/>
      <c r="C28" s="413"/>
      <c r="D28" s="413"/>
      <c r="E28" s="413"/>
      <c r="F28" s="413"/>
      <c r="G28" s="413"/>
      <c r="H28" s="413"/>
      <c r="I28" s="413"/>
      <c r="J28" s="413"/>
      <c r="K28" s="413"/>
      <c r="L28" s="413"/>
      <c r="M28" s="413"/>
    </row>
    <row r="29" spans="2:13" ht="15" customHeight="1">
      <c r="B29" s="413"/>
      <c r="C29" s="413"/>
      <c r="D29" s="413"/>
      <c r="E29" s="413"/>
      <c r="F29" s="413"/>
      <c r="G29" s="413"/>
      <c r="H29" s="413"/>
      <c r="I29" s="413"/>
      <c r="J29" s="413"/>
      <c r="K29" s="413"/>
      <c r="L29" s="413"/>
      <c r="M29" s="413"/>
    </row>
    <row r="30" spans="2:13" ht="15" customHeight="1">
      <c r="B30" s="413"/>
      <c r="C30" s="413"/>
      <c r="D30" s="413"/>
      <c r="E30" s="413"/>
      <c r="F30" s="413"/>
      <c r="G30" s="413"/>
      <c r="H30" s="413"/>
      <c r="I30" s="413"/>
      <c r="J30" s="413"/>
      <c r="K30" s="413"/>
      <c r="L30" s="413"/>
      <c r="M30" s="413"/>
    </row>
    <row r="31" spans="2:13" ht="15" customHeight="1">
      <c r="B31" s="413"/>
      <c r="C31" s="413"/>
      <c r="D31" s="413"/>
      <c r="E31" s="413"/>
      <c r="F31" s="413"/>
      <c r="G31" s="413"/>
      <c r="H31" s="413"/>
      <c r="I31" s="413"/>
      <c r="J31" s="413"/>
      <c r="K31" s="413"/>
      <c r="L31" s="413"/>
      <c r="M31" s="413"/>
    </row>
    <row r="32" spans="2:13" ht="15" customHeight="1">
      <c r="B32" s="413"/>
      <c r="C32" s="413"/>
      <c r="D32" s="413"/>
      <c r="E32" s="413"/>
      <c r="F32" s="413"/>
      <c r="G32" s="413"/>
      <c r="H32" s="413"/>
      <c r="I32" s="413"/>
      <c r="J32" s="413"/>
      <c r="K32" s="413"/>
      <c r="L32" s="413"/>
      <c r="M32" s="413"/>
    </row>
    <row r="33" spans="2:13" ht="15" customHeight="1">
      <c r="B33" s="413"/>
      <c r="C33" s="413"/>
      <c r="D33" s="413"/>
      <c r="E33" s="413"/>
      <c r="F33" s="413"/>
      <c r="G33" s="413"/>
      <c r="H33" s="413"/>
      <c r="I33" s="413"/>
      <c r="J33" s="413"/>
      <c r="K33" s="413"/>
      <c r="L33" s="413"/>
      <c r="M33" s="413"/>
    </row>
    <row r="34" spans="2:13" ht="15" customHeight="1"/>
    <row r="35" spans="2:13" ht="15" customHeight="1"/>
    <row r="36" spans="2:13" ht="15" customHeight="1"/>
    <row r="37" spans="2:13" ht="15" customHeight="1"/>
    <row r="38" spans="2:13" ht="15" customHeight="1"/>
    <row r="39" spans="2:13" ht="15" customHeight="1"/>
    <row r="40" spans="2:13" ht="15" customHeight="1"/>
    <row r="41" spans="2:13" ht="15" customHeight="1"/>
    <row r="42" spans="2:13" ht="15" customHeight="1"/>
    <row r="43" spans="2:13" ht="15" customHeight="1"/>
    <row r="44" spans="2:13" ht="15" customHeight="1"/>
    <row r="45" spans="2:13" ht="15" customHeight="1"/>
    <row r="46" spans="2:13" ht="15" customHeight="1"/>
    <row r="47" spans="2:13" ht="15" customHeight="1"/>
    <row r="48" spans="2:13" ht="15" customHeight="1"/>
    <row r="49" ht="15" customHeight="1"/>
    <row r="50" ht="15" customHeight="1"/>
    <row r="51" ht="15" customHeight="1"/>
    <row r="52" ht="15" customHeight="1"/>
    <row r="53" ht="15" customHeight="1"/>
    <row r="77" spans="1:1">
      <c r="A77" s="392"/>
    </row>
  </sheetData>
  <mergeCells count="3">
    <mergeCell ref="B1:K1"/>
    <mergeCell ref="L1:N1"/>
    <mergeCell ref="B3:M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F14D-A865-4316-98D8-CD7C1579FF56}">
  <sheetPr>
    <pageSetUpPr fitToPage="1"/>
  </sheetPr>
  <dimension ref="A1:BF512"/>
  <sheetViews>
    <sheetView zoomScale="90" zoomScaleNormal="90" workbookViewId="0">
      <pane ySplit="4" topLeftCell="A5" activePane="bottomLeft" state="frozen"/>
      <selection activeCell="K26" sqref="K26"/>
      <selection pane="bottomLeft"/>
    </sheetView>
  </sheetViews>
  <sheetFormatPr defaultColWidth="9.109375" defaultRowHeight="13.8" outlineLevelRow="1" outlineLevelCol="1"/>
  <cols>
    <col min="1" max="6" width="9.109375" style="145"/>
    <col min="7" max="7" width="4" style="892" customWidth="1"/>
    <col min="8" max="12" width="4" style="146" customWidth="1"/>
    <col min="13" max="13" width="65.6640625" style="146" customWidth="1"/>
    <col min="14" max="14" width="19.109375" style="146" hidden="1" customWidth="1" outlineLevel="1"/>
    <col min="15" max="15" width="15.44140625" style="146" customWidth="1" collapsed="1"/>
    <col min="16" max="19" width="15.44140625" style="146" customWidth="1"/>
    <col min="20" max="21" width="15.44140625" style="294" customWidth="1"/>
    <col min="22" max="22" width="15.44140625" style="146" customWidth="1"/>
    <col min="23" max="23" width="4.109375" style="146" customWidth="1"/>
    <col min="24" max="24" width="11" style="146" bestFit="1" customWidth="1"/>
    <col min="25" max="25" width="10.33203125" style="146" bestFit="1" customWidth="1"/>
    <col min="26" max="26" width="12.44140625" style="146" bestFit="1" customWidth="1"/>
    <col min="27" max="16384" width="9.109375" style="146"/>
  </cols>
  <sheetData>
    <row r="1" spans="1:24" s="667" customFormat="1" ht="39.9" customHeight="1" thickBot="1">
      <c r="A1" s="666" t="str">
        <f>+Manual!A1</f>
        <v>Q2
2025</v>
      </c>
      <c r="B1" s="666" t="str">
        <f>+Manual!D1</f>
        <v>Q2
2026</v>
      </c>
      <c r="C1" s="666"/>
      <c r="D1" s="666"/>
      <c r="E1" s="666"/>
      <c r="F1" s="666"/>
      <c r="G1" s="961"/>
      <c r="H1" s="1143" t="s">
        <v>829</v>
      </c>
      <c r="I1" s="1143"/>
      <c r="J1" s="1143"/>
      <c r="K1" s="1143"/>
      <c r="L1" s="1143"/>
      <c r="M1" s="1143"/>
      <c r="N1" s="1143"/>
      <c r="O1" s="1143"/>
      <c r="P1" s="1143"/>
      <c r="Q1" s="1143"/>
      <c r="R1" s="1143"/>
      <c r="S1" s="1143"/>
      <c r="T1" s="1143"/>
      <c r="U1" s="1131" t="s">
        <v>752</v>
      </c>
      <c r="V1" s="1131"/>
      <c r="W1" s="661"/>
    </row>
    <row r="2" spans="1:24" s="654" customFormat="1" ht="7.5" customHeight="1">
      <c r="A2" s="656"/>
      <c r="B2" s="656"/>
      <c r="C2" s="656"/>
      <c r="D2" s="656"/>
      <c r="E2" s="656"/>
      <c r="F2" s="656"/>
      <c r="G2" s="892"/>
      <c r="H2" s="146"/>
      <c r="I2" s="146"/>
      <c r="J2" s="146"/>
      <c r="K2" s="146"/>
      <c r="L2" s="146"/>
      <c r="M2" s="146"/>
      <c r="N2" s="654" t="s">
        <v>821</v>
      </c>
      <c r="O2" s="654" t="s">
        <v>821</v>
      </c>
      <c r="T2" s="683"/>
      <c r="U2" s="683"/>
      <c r="W2" s="661"/>
    </row>
    <row r="3" spans="1:24" s="654" customFormat="1" ht="7.5" customHeight="1">
      <c r="A3" s="656"/>
      <c r="B3" s="656"/>
      <c r="C3" s="656"/>
      <c r="D3" s="656"/>
      <c r="E3" s="656"/>
      <c r="F3" s="656"/>
      <c r="G3" s="892"/>
      <c r="H3" s="146"/>
      <c r="I3" s="146"/>
      <c r="J3" s="146"/>
      <c r="K3" s="146"/>
      <c r="L3" s="146"/>
      <c r="M3" s="146"/>
      <c r="T3" s="683"/>
      <c r="U3" s="683"/>
      <c r="W3" s="661"/>
    </row>
    <row r="4" spans="1:24" s="654" customFormat="1" ht="30" customHeight="1">
      <c r="A4" s="656"/>
      <c r="B4" s="656"/>
      <c r="C4" s="656"/>
      <c r="D4" s="656"/>
      <c r="E4" s="656"/>
      <c r="F4" s="656"/>
      <c r="G4" s="1144" t="s">
        <v>0</v>
      </c>
      <c r="H4" s="1144"/>
      <c r="I4" s="1144"/>
      <c r="J4" s="1144"/>
      <c r="K4" s="1144"/>
      <c r="L4" s="1144"/>
      <c r="M4" s="1144"/>
      <c r="N4" s="664" t="str">
        <f>+_xlfn.CONCAT("Dec 31,",CHAR(10),LEFT(N69,4))</f>
        <v>Dec 31,
2024</v>
      </c>
      <c r="O4" s="663" t="str">
        <f>+_xlfn.CONCAT("Mar 31,",CHAR(10),LEFT(O69,4))</f>
        <v>Mar 31,
2025</v>
      </c>
      <c r="P4" s="662" t="str">
        <f>+_xlfn.CONCAT("Jun 30,",CHAR(10),LEFT(P69,4))</f>
        <v>Jun 30,
2025</v>
      </c>
      <c r="Q4" s="662" t="str">
        <f>+_xlfn.CONCAT("Sep 30,",CHAR(10),LEFT(Q69,4))</f>
        <v>Sep 30,
2025</v>
      </c>
      <c r="R4" s="664" t="str">
        <f>+_xlfn.CONCAT("Dec 31,",CHAR(10),LEFT(R69,4))</f>
        <v>Dec 31,
2025</v>
      </c>
      <c r="S4" s="662" t="str">
        <f>+_xlfn.CONCAT("Mar 31,",CHAR(10),LEFT(S69,4))</f>
        <v>Mar 31,
2026</v>
      </c>
      <c r="T4" s="662" t="str">
        <f>+_xlfn.CONCAT("Jun 30,",CHAR(10),LEFT(T69,4))</f>
        <v>Jun 30,
2026</v>
      </c>
      <c r="U4" s="662" t="str">
        <f>+_xlfn.CONCAT("Sep 30,",CHAR(10),LEFT(U69,4))</f>
        <v>Sep 30,
2026</v>
      </c>
      <c r="V4" s="662" t="str">
        <f>+_xlfn.CONCAT("Dec 31,",CHAR(10),LEFT(V69,4))</f>
        <v>Dec 31,
2026</v>
      </c>
      <c r="W4" s="661"/>
    </row>
    <row r="5" spans="1:24" ht="14.4">
      <c r="G5" s="1136" t="s">
        <v>830</v>
      </c>
      <c r="H5" s="1136"/>
      <c r="I5" s="1136"/>
      <c r="J5" s="1136"/>
      <c r="K5" s="1136"/>
      <c r="L5" s="1136"/>
      <c r="M5" s="1136"/>
      <c r="N5" s="383"/>
      <c r="O5" s="250"/>
      <c r="R5" s="383"/>
      <c r="V5" s="1046"/>
      <c r="W5"/>
    </row>
    <row r="6" spans="1:24" ht="14.4">
      <c r="G6" s="1138" t="s">
        <v>1</v>
      </c>
      <c r="H6" s="1138"/>
      <c r="I6" s="1138"/>
      <c r="J6" s="1138"/>
      <c r="K6" s="1138"/>
      <c r="L6" s="1138"/>
      <c r="M6" s="1138"/>
      <c r="N6" s="383"/>
      <c r="O6" s="250"/>
      <c r="R6" s="383"/>
      <c r="V6" s="1046"/>
      <c r="W6"/>
    </row>
    <row r="7" spans="1:24" ht="14.4">
      <c r="G7" s="962"/>
      <c r="H7" s="1134" t="s">
        <v>2</v>
      </c>
      <c r="I7" s="1134"/>
      <c r="J7" s="1134"/>
      <c r="K7" s="1134"/>
      <c r="L7" s="1134"/>
      <c r="M7" s="1134"/>
      <c r="N7" s="994">
        <f t="shared" ref="N7:T8" si="0">+SUMIF($H$75:$H$268,$H7,N$75:N$268)*SUMIF($H$75:$H$268,$H7,$G$75:$G$268)</f>
        <v>3714983.1773417918</v>
      </c>
      <c r="O7" s="571">
        <f t="shared" si="0"/>
        <v>3784534.0802471861</v>
      </c>
      <c r="P7" s="570">
        <f t="shared" si="0"/>
        <v>3798696.710007824</v>
      </c>
      <c r="Q7" s="570">
        <f t="shared" si="0"/>
        <v>3885588.8857408054</v>
      </c>
      <c r="R7" s="570">
        <f t="shared" si="0"/>
        <v>4116941.091646038</v>
      </c>
      <c r="S7" s="571">
        <f t="shared" si="0"/>
        <v>4206352.3489217237</v>
      </c>
      <c r="T7" s="570">
        <f t="shared" si="0"/>
        <v>4259191.766529954</v>
      </c>
      <c r="U7" s="570"/>
      <c r="V7" s="570"/>
      <c r="W7"/>
      <c r="X7" s="610"/>
    </row>
    <row r="8" spans="1:24" ht="14.4">
      <c r="G8" s="962"/>
      <c r="H8" s="1134" t="s">
        <v>3</v>
      </c>
      <c r="I8" s="1134"/>
      <c r="J8" s="1134"/>
      <c r="K8" s="1134"/>
      <c r="L8" s="1134"/>
      <c r="M8" s="1134"/>
      <c r="N8" s="697">
        <f t="shared" si="0"/>
        <v>1303880</v>
      </c>
      <c r="O8" s="575">
        <f t="shared" si="0"/>
        <v>1285340.0000000002</v>
      </c>
      <c r="P8" s="574">
        <f t="shared" si="0"/>
        <v>1258800</v>
      </c>
      <c r="Q8" s="574">
        <f t="shared" si="0"/>
        <v>1241539.9999999998</v>
      </c>
      <c r="R8" s="574">
        <f t="shared" si="0"/>
        <v>1175380</v>
      </c>
      <c r="S8" s="575">
        <f t="shared" si="0"/>
        <v>1130730</v>
      </c>
      <c r="T8" s="574">
        <f t="shared" si="0"/>
        <v>1073520</v>
      </c>
      <c r="U8" s="574"/>
      <c r="V8" s="574"/>
      <c r="W8"/>
      <c r="X8" s="610"/>
    </row>
    <row r="9" spans="1:24" ht="14.4">
      <c r="G9" s="963"/>
      <c r="H9" s="964"/>
      <c r="I9" s="964"/>
      <c r="J9" s="1134" t="s">
        <v>4</v>
      </c>
      <c r="K9" s="1134"/>
      <c r="L9" s="1134"/>
      <c r="M9" s="1134"/>
      <c r="N9" s="1001">
        <f t="shared" ref="N9" si="1">+SUM(N7:N8)</f>
        <v>5018863.1773417918</v>
      </c>
      <c r="O9" s="577">
        <f t="shared" ref="O9:R9" si="2">+SUM(O7:O8)</f>
        <v>5069874.0802471861</v>
      </c>
      <c r="P9" s="576">
        <f t="shared" si="2"/>
        <v>5057496.710007824</v>
      </c>
      <c r="Q9" s="576">
        <f t="shared" si="2"/>
        <v>5127128.8857408054</v>
      </c>
      <c r="R9" s="576">
        <f t="shared" si="2"/>
        <v>5292321.091646038</v>
      </c>
      <c r="S9" s="577">
        <f t="shared" ref="S9" si="3">+SUM(S7:S8)</f>
        <v>5337082.3489217237</v>
      </c>
      <c r="T9" s="576">
        <f t="shared" ref="T9" si="4">+SUM(T7:T8)</f>
        <v>5332711.766529954</v>
      </c>
      <c r="U9" s="576"/>
      <c r="V9" s="576"/>
      <c r="W9"/>
      <c r="X9" s="610"/>
    </row>
    <row r="10" spans="1:24" ht="14.4">
      <c r="G10" s="963"/>
      <c r="H10" s="1134" t="s">
        <v>609</v>
      </c>
      <c r="I10" s="1134"/>
      <c r="J10" s="1134"/>
      <c r="K10" s="1134"/>
      <c r="L10" s="1134"/>
      <c r="M10" s="1134"/>
      <c r="N10" s="697">
        <f t="shared" ref="N10:T13" si="5">+SUMIF($H$75:$H$268,$H10,N$75:N$268)*SUMIF($H$75:$H$268,$H10,$G$75:$G$268)</f>
        <v>2744165.0687281215</v>
      </c>
      <c r="O10" s="575">
        <f t="shared" si="5"/>
        <v>2722543.8772133514</v>
      </c>
      <c r="P10" s="574">
        <f t="shared" si="5"/>
        <v>2698143.6945382445</v>
      </c>
      <c r="Q10" s="574">
        <f t="shared" si="5"/>
        <v>2596597.4231239343</v>
      </c>
      <c r="R10" s="574">
        <f t="shared" si="5"/>
        <v>2564952.2532418841</v>
      </c>
      <c r="S10" s="575">
        <f t="shared" si="5"/>
        <v>2480051.399268805</v>
      </c>
      <c r="T10" s="574">
        <f t="shared" si="5"/>
        <v>2450744.9989815657</v>
      </c>
      <c r="U10" s="574"/>
      <c r="V10" s="574"/>
      <c r="W10"/>
      <c r="X10" s="610"/>
    </row>
    <row r="11" spans="1:24" ht="14.4">
      <c r="G11" s="963"/>
      <c r="H11" s="1134" t="s">
        <v>5</v>
      </c>
      <c r="I11" s="1134"/>
      <c r="J11" s="1134"/>
      <c r="K11" s="1134"/>
      <c r="L11" s="1134"/>
      <c r="M11" s="1134"/>
      <c r="N11" s="697">
        <f t="shared" si="5"/>
        <v>3680429.6126044733</v>
      </c>
      <c r="O11" s="575">
        <f t="shared" si="5"/>
        <v>3742692.6005415828</v>
      </c>
      <c r="P11" s="574">
        <f t="shared" si="5"/>
        <v>3817119.1599755418</v>
      </c>
      <c r="Q11" s="574">
        <f t="shared" si="5"/>
        <v>3863442.3276038934</v>
      </c>
      <c r="R11" s="574">
        <f t="shared" si="5"/>
        <v>3915998.4020114345</v>
      </c>
      <c r="S11" s="575">
        <f t="shared" si="5"/>
        <v>3954334.0922379862</v>
      </c>
      <c r="T11" s="574">
        <f t="shared" si="5"/>
        <v>3991485.5869244155</v>
      </c>
      <c r="U11" s="574"/>
      <c r="V11" s="574"/>
      <c r="W11"/>
      <c r="X11" s="610"/>
    </row>
    <row r="12" spans="1:24" ht="14.4">
      <c r="G12" s="963"/>
      <c r="H12" s="1134" t="s">
        <v>7</v>
      </c>
      <c r="I12" s="1134"/>
      <c r="J12" s="1134"/>
      <c r="K12" s="1134"/>
      <c r="L12" s="1134"/>
      <c r="M12" s="1134"/>
      <c r="N12" s="697">
        <f t="shared" si="5"/>
        <v>929276.85874425271</v>
      </c>
      <c r="O12" s="575">
        <f t="shared" si="5"/>
        <v>935801.94701967982</v>
      </c>
      <c r="P12" s="574">
        <f t="shared" si="5"/>
        <v>938583.00708500657</v>
      </c>
      <c r="Q12" s="574">
        <f t="shared" si="5"/>
        <v>946716.68146544462</v>
      </c>
      <c r="R12" s="574">
        <f t="shared" si="5"/>
        <v>957543.7219245279</v>
      </c>
      <c r="S12" s="575">
        <f t="shared" si="5"/>
        <v>783399.51365846512</v>
      </c>
      <c r="T12" s="574">
        <f t="shared" si="5"/>
        <v>850498.47904787608</v>
      </c>
      <c r="U12" s="574"/>
      <c r="V12" s="574"/>
      <c r="W12"/>
      <c r="X12" s="610"/>
    </row>
    <row r="13" spans="1:24" ht="14.4">
      <c r="G13" s="963"/>
      <c r="H13" s="1134" t="s">
        <v>8</v>
      </c>
      <c r="I13" s="1134"/>
      <c r="J13" s="1134"/>
      <c r="K13" s="1134"/>
      <c r="L13" s="1134"/>
      <c r="M13" s="1134"/>
      <c r="N13" s="1002">
        <f t="shared" si="5"/>
        <v>2209287.3073793552</v>
      </c>
      <c r="O13" s="579">
        <f t="shared" si="5"/>
        <v>2118097.542405447</v>
      </c>
      <c r="P13" s="578">
        <f t="shared" si="5"/>
        <v>2318491.6641881927</v>
      </c>
      <c r="Q13" s="578">
        <f t="shared" si="5"/>
        <v>2313873.8004165171</v>
      </c>
      <c r="R13" s="578">
        <f t="shared" si="5"/>
        <v>2281520.4052366395</v>
      </c>
      <c r="S13" s="579">
        <f t="shared" si="5"/>
        <v>2122558.4490081924</v>
      </c>
      <c r="T13" s="578">
        <f t="shared" si="5"/>
        <v>2156498.4397324394</v>
      </c>
      <c r="U13" s="578"/>
      <c r="V13" s="578"/>
      <c r="W13"/>
      <c r="X13" s="610"/>
    </row>
    <row r="14" spans="1:24" ht="15" thickBot="1">
      <c r="G14" s="965"/>
      <c r="H14" s="966"/>
      <c r="I14" s="966"/>
      <c r="J14" s="1133" t="s">
        <v>9</v>
      </c>
      <c r="K14" s="1133"/>
      <c r="L14" s="1133"/>
      <c r="M14" s="1133"/>
      <c r="N14" s="1003">
        <f t="shared" ref="N14:S14" si="6">+SUM(N9:N13)</f>
        <v>14582022.024797995</v>
      </c>
      <c r="O14" s="573">
        <f t="shared" si="6"/>
        <v>14589010.047427246</v>
      </c>
      <c r="P14" s="572">
        <f t="shared" si="6"/>
        <v>14829834.235794811</v>
      </c>
      <c r="Q14" s="572">
        <f t="shared" si="6"/>
        <v>14847759.118350595</v>
      </c>
      <c r="R14" s="572">
        <f t="shared" si="6"/>
        <v>15012335.874060523</v>
      </c>
      <c r="S14" s="573">
        <f t="shared" si="6"/>
        <v>14677425.803095173</v>
      </c>
      <c r="T14" s="572">
        <f t="shared" ref="T14" si="7">+SUM(T9:T13)</f>
        <v>14781939.271216251</v>
      </c>
      <c r="U14" s="572"/>
      <c r="V14" s="572"/>
      <c r="W14"/>
      <c r="X14" s="610"/>
    </row>
    <row r="15" spans="1:24" ht="7.5" customHeight="1" thickTop="1">
      <c r="G15" s="963"/>
      <c r="H15" s="964"/>
      <c r="I15" s="964"/>
      <c r="J15" s="964"/>
      <c r="K15" s="964"/>
      <c r="L15" s="964"/>
      <c r="M15" s="964"/>
      <c r="N15" s="1004"/>
      <c r="O15" s="154"/>
      <c r="P15" s="153"/>
      <c r="Q15" s="153"/>
      <c r="R15" s="153"/>
      <c r="S15" s="154"/>
      <c r="T15" s="153"/>
      <c r="U15" s="153"/>
      <c r="V15" s="153"/>
      <c r="W15"/>
    </row>
    <row r="16" spans="1:24" ht="14.4">
      <c r="G16" s="1138" t="s">
        <v>10</v>
      </c>
      <c r="H16" s="1138"/>
      <c r="I16" s="1138"/>
      <c r="J16" s="1138"/>
      <c r="K16" s="1138"/>
      <c r="L16" s="1138"/>
      <c r="M16" s="1138"/>
      <c r="N16" s="1004"/>
      <c r="O16" s="154"/>
      <c r="P16" s="153"/>
      <c r="Q16" s="153"/>
      <c r="R16" s="153"/>
      <c r="S16" s="154"/>
      <c r="T16" s="153"/>
      <c r="U16" s="153"/>
      <c r="V16" s="153"/>
      <c r="W16"/>
    </row>
    <row r="17" spans="7:24" ht="14.4">
      <c r="G17" s="963"/>
      <c r="H17" s="1134" t="s">
        <v>11</v>
      </c>
      <c r="I17" s="1134"/>
      <c r="J17" s="1134"/>
      <c r="K17" s="1134"/>
      <c r="L17" s="1134"/>
      <c r="M17" s="1134"/>
      <c r="N17" s="994">
        <f t="shared" ref="N17:T23" si="8">+SUMIF($H$75:$H$268,$H17,N$75:N$268)*SUMIF($H$75:$H$268,$H17,$G$75:$G$268)</f>
        <v>6503064.3210746171</v>
      </c>
      <c r="O17" s="571">
        <f t="shared" si="8"/>
        <v>6637937.1051776307</v>
      </c>
      <c r="P17" s="570">
        <f t="shared" si="8"/>
        <v>6719043.6495479327</v>
      </c>
      <c r="Q17" s="570">
        <f t="shared" si="8"/>
        <v>6816777.547639573</v>
      </c>
      <c r="R17" s="570">
        <f t="shared" si="8"/>
        <v>6818178.9303770019</v>
      </c>
      <c r="S17" s="571">
        <f t="shared" si="8"/>
        <v>6728919.9653835995</v>
      </c>
      <c r="T17" s="570">
        <f t="shared" si="8"/>
        <v>6803364.1076408075</v>
      </c>
      <c r="U17" s="570"/>
      <c r="V17" s="570"/>
      <c r="W17"/>
      <c r="X17" s="610"/>
    </row>
    <row r="18" spans="7:24" ht="14.4">
      <c r="G18" s="963"/>
      <c r="H18" s="1134" t="s">
        <v>12</v>
      </c>
      <c r="I18" s="1134"/>
      <c r="J18" s="1134"/>
      <c r="K18" s="1134"/>
      <c r="L18" s="1134"/>
      <c r="M18" s="1134"/>
      <c r="N18" s="697">
        <f t="shared" si="8"/>
        <v>906279.50161732256</v>
      </c>
      <c r="O18" s="575">
        <f t="shared" si="8"/>
        <v>907038.2200498184</v>
      </c>
      <c r="P18" s="574">
        <f t="shared" si="8"/>
        <v>906558.32731758326</v>
      </c>
      <c r="Q18" s="574">
        <f t="shared" si="8"/>
        <v>862242.22332125681</v>
      </c>
      <c r="R18" s="574">
        <f t="shared" si="8"/>
        <v>867304.61570577149</v>
      </c>
      <c r="S18" s="575">
        <f t="shared" si="8"/>
        <v>848328.33466948359</v>
      </c>
      <c r="T18" s="574">
        <f t="shared" si="8"/>
        <v>849967.57661706582</v>
      </c>
      <c r="U18" s="574"/>
      <c r="V18" s="574"/>
      <c r="W18"/>
      <c r="X18" s="610"/>
    </row>
    <row r="19" spans="7:24" ht="14.4">
      <c r="G19" s="963"/>
      <c r="H19" s="1134" t="s">
        <v>14</v>
      </c>
      <c r="I19" s="1134"/>
      <c r="J19" s="1134"/>
      <c r="K19" s="1134"/>
      <c r="L19" s="1134"/>
      <c r="M19" s="1134"/>
      <c r="N19" s="697">
        <f t="shared" si="8"/>
        <v>720248.24533076561</v>
      </c>
      <c r="O19" s="575">
        <f t="shared" si="8"/>
        <v>692224.41222147667</v>
      </c>
      <c r="P19" s="574">
        <f t="shared" si="8"/>
        <v>641378.2796794551</v>
      </c>
      <c r="Q19" s="574">
        <f t="shared" si="8"/>
        <v>618061.01958084572</v>
      </c>
      <c r="R19" s="574">
        <f t="shared" si="8"/>
        <v>744120.86429755809</v>
      </c>
      <c r="S19" s="575">
        <f t="shared" si="8"/>
        <v>646723.54231118469</v>
      </c>
      <c r="T19" s="574">
        <f t="shared" si="8"/>
        <v>691569.5035403478</v>
      </c>
      <c r="U19" s="574"/>
      <c r="V19" s="574"/>
      <c r="W19"/>
      <c r="X19" s="610"/>
    </row>
    <row r="20" spans="7:24" ht="14.4">
      <c r="G20" s="963"/>
      <c r="H20" s="1141" t="s">
        <v>15</v>
      </c>
      <c r="I20" s="1142"/>
      <c r="J20" s="1142"/>
      <c r="K20" s="1142"/>
      <c r="L20" s="1142"/>
      <c r="M20" s="1142"/>
      <c r="N20" s="697">
        <f t="shared" si="8"/>
        <v>594511.7095</v>
      </c>
      <c r="O20" s="575">
        <f t="shared" si="8"/>
        <v>594712.50060999999</v>
      </c>
      <c r="P20" s="574">
        <f t="shared" si="8"/>
        <v>594913.29173000006</v>
      </c>
      <c r="Q20" s="574">
        <f t="shared" si="8"/>
        <v>595114.08284999989</v>
      </c>
      <c r="R20" s="574">
        <f t="shared" si="8"/>
        <v>595314.87396</v>
      </c>
      <c r="S20" s="575">
        <f t="shared" si="8"/>
        <v>595515.66508000006</v>
      </c>
      <c r="T20" s="574">
        <f t="shared" si="8"/>
        <v>595716.45618999994</v>
      </c>
      <c r="U20" s="574"/>
      <c r="V20" s="574"/>
      <c r="W20"/>
      <c r="X20" s="610"/>
    </row>
    <row r="21" spans="7:24" ht="14.4">
      <c r="G21" s="963"/>
      <c r="H21" s="1134" t="s">
        <v>16</v>
      </c>
      <c r="I21" s="1134"/>
      <c r="J21" s="1134"/>
      <c r="K21" s="1134"/>
      <c r="L21" s="1134"/>
      <c r="M21" s="1134"/>
      <c r="N21" s="697">
        <f t="shared" si="8"/>
        <v>1303555.82959</v>
      </c>
      <c r="O21" s="575">
        <f t="shared" si="8"/>
        <v>1285031.70478</v>
      </c>
      <c r="P21" s="574">
        <f t="shared" si="8"/>
        <v>1258507.57996</v>
      </c>
      <c r="Q21" s="574">
        <f t="shared" si="8"/>
        <v>1241263.4551500001</v>
      </c>
      <c r="R21" s="574">
        <f t="shared" si="8"/>
        <v>1175119.3303499999</v>
      </c>
      <c r="S21" s="575">
        <f t="shared" si="8"/>
        <v>1130485.2055299999</v>
      </c>
      <c r="T21" s="574">
        <f t="shared" si="8"/>
        <v>1073291.08072</v>
      </c>
      <c r="U21" s="574"/>
      <c r="V21" s="574"/>
      <c r="W21"/>
      <c r="X21" s="610"/>
    </row>
    <row r="22" spans="7:24" ht="14.4">
      <c r="G22" s="963"/>
      <c r="H22" s="1139" t="s">
        <v>17</v>
      </c>
      <c r="I22" s="1139"/>
      <c r="J22" s="1139"/>
      <c r="K22" s="1139"/>
      <c r="L22" s="1139"/>
      <c r="M22" s="1139"/>
      <c r="N22" s="697">
        <f t="shared" si="8"/>
        <v>86033.703000000009</v>
      </c>
      <c r="O22" s="575">
        <f t="shared" si="8"/>
        <v>97559.607999999993</v>
      </c>
      <c r="P22" s="574">
        <f t="shared" si="8"/>
        <v>83425.012000000002</v>
      </c>
      <c r="Q22" s="574">
        <f t="shared" si="8"/>
        <v>104535.414</v>
      </c>
      <c r="R22" s="574">
        <f t="shared" si="8"/>
        <v>84875.665999999997</v>
      </c>
      <c r="S22" s="575">
        <f t="shared" si="8"/>
        <v>85020.487000000008</v>
      </c>
      <c r="T22" s="574">
        <f t="shared" si="8"/>
        <v>88578.678000000014</v>
      </c>
      <c r="U22" s="574"/>
      <c r="V22" s="574"/>
      <c r="W22"/>
      <c r="X22" s="610"/>
    </row>
    <row r="23" spans="7:24" ht="14.4">
      <c r="G23" s="963"/>
      <c r="H23" s="1134" t="s">
        <v>18</v>
      </c>
      <c r="I23" s="1134"/>
      <c r="J23" s="1134"/>
      <c r="K23" s="1134"/>
      <c r="L23" s="1134"/>
      <c r="M23" s="1134"/>
      <c r="N23" s="697">
        <f t="shared" si="8"/>
        <v>2209287.3073793552</v>
      </c>
      <c r="O23" s="575">
        <f t="shared" si="8"/>
        <v>2118097.542405447</v>
      </c>
      <c r="P23" s="574">
        <f t="shared" si="8"/>
        <v>2318491.6641881927</v>
      </c>
      <c r="Q23" s="574">
        <f t="shared" si="8"/>
        <v>2313873.8004165171</v>
      </c>
      <c r="R23" s="574">
        <f t="shared" si="8"/>
        <v>2281520.4052366395</v>
      </c>
      <c r="S23" s="575">
        <f t="shared" si="8"/>
        <v>2122558.4490081924</v>
      </c>
      <c r="T23" s="574">
        <f t="shared" si="8"/>
        <v>2156498.4397324394</v>
      </c>
      <c r="U23" s="574"/>
      <c r="V23" s="574"/>
      <c r="W23"/>
      <c r="X23" s="610"/>
    </row>
    <row r="24" spans="7:24" ht="14.4">
      <c r="G24" s="963"/>
      <c r="H24" s="964"/>
      <c r="I24" s="964"/>
      <c r="J24" s="1133" t="s">
        <v>19</v>
      </c>
      <c r="K24" s="1133"/>
      <c r="L24" s="1133"/>
      <c r="M24" s="1133"/>
      <c r="N24" s="1005">
        <f t="shared" ref="N24:S24" si="9">+SUM(N17:N23)</f>
        <v>12322980.617492061</v>
      </c>
      <c r="O24" s="581">
        <f t="shared" si="9"/>
        <v>12332601.09324437</v>
      </c>
      <c r="P24" s="580">
        <f t="shared" si="9"/>
        <v>12522317.804423165</v>
      </c>
      <c r="Q24" s="580">
        <f t="shared" si="9"/>
        <v>12551867.542958196</v>
      </c>
      <c r="R24" s="580">
        <f t="shared" si="9"/>
        <v>12566434.68592697</v>
      </c>
      <c r="S24" s="581">
        <f t="shared" si="9"/>
        <v>12157551.648982462</v>
      </c>
      <c r="T24" s="580">
        <f t="shared" ref="T24" si="10">+SUM(T17:T23)</f>
        <v>12258985.842440659</v>
      </c>
      <c r="U24" s="580"/>
      <c r="V24" s="580"/>
      <c r="W24"/>
      <c r="X24" s="610"/>
    </row>
    <row r="25" spans="7:24" ht="7.5" customHeight="1">
      <c r="G25" s="963"/>
      <c r="H25" s="964"/>
      <c r="I25" s="964"/>
      <c r="J25" s="967"/>
      <c r="K25" s="967"/>
      <c r="L25" s="967"/>
      <c r="M25" s="967"/>
      <c r="N25" s="1004"/>
      <c r="O25" s="154"/>
      <c r="P25" s="153"/>
      <c r="Q25" s="153"/>
      <c r="R25" s="153"/>
      <c r="S25" s="154"/>
      <c r="T25" s="153"/>
      <c r="U25" s="153"/>
      <c r="V25" s="153"/>
      <c r="W25"/>
    </row>
    <row r="26" spans="7:24" ht="14.4" hidden="1" outlineLevel="1">
      <c r="G26" s="1140" t="s">
        <v>20</v>
      </c>
      <c r="H26" s="1140"/>
      <c r="I26" s="1140"/>
      <c r="J26" s="1140"/>
      <c r="K26" s="1140"/>
      <c r="L26" s="1140"/>
      <c r="M26" s="1140"/>
      <c r="N26" s="994">
        <f t="shared" ref="N26:V26" si="11">+SUMIF($H$75:$H$268,$G26,N$75:N$268)*SUMIF($H$75:$H$268,$G26,$G$75:$G$268)</f>
        <v>0</v>
      </c>
      <c r="O26" s="995">
        <f t="shared" si="11"/>
        <v>0</v>
      </c>
      <c r="P26" s="994">
        <f t="shared" si="11"/>
        <v>0</v>
      </c>
      <c r="Q26" s="994">
        <f t="shared" si="11"/>
        <v>0</v>
      </c>
      <c r="R26" s="994">
        <f t="shared" si="11"/>
        <v>0</v>
      </c>
      <c r="S26" s="571">
        <f t="shared" si="11"/>
        <v>0</v>
      </c>
      <c r="T26" s="994">
        <f t="shared" si="11"/>
        <v>0</v>
      </c>
      <c r="U26" s="570">
        <f t="shared" si="11"/>
        <v>0</v>
      </c>
      <c r="V26" s="570">
        <f t="shared" si="11"/>
        <v>0</v>
      </c>
      <c r="W26"/>
    </row>
    <row r="27" spans="7:24" ht="14.4" hidden="1" outlineLevel="1">
      <c r="G27" s="996"/>
      <c r="H27" s="997"/>
      <c r="I27" s="997"/>
      <c r="J27" s="997"/>
      <c r="K27" s="997"/>
      <c r="L27" s="997"/>
      <c r="M27" s="997"/>
      <c r="N27" s="998"/>
      <c r="O27" s="999"/>
      <c r="P27" s="998"/>
      <c r="Q27" s="998"/>
      <c r="R27" s="998"/>
      <c r="S27" s="1047"/>
      <c r="T27" s="998"/>
      <c r="U27" s="1015"/>
      <c r="V27" s="1015"/>
      <c r="W27"/>
    </row>
    <row r="28" spans="7:24" ht="14.4" collapsed="1">
      <c r="G28" s="1138" t="s">
        <v>21</v>
      </c>
      <c r="H28" s="1138"/>
      <c r="I28" s="1138"/>
      <c r="J28" s="1138"/>
      <c r="K28" s="1138"/>
      <c r="L28" s="1138"/>
      <c r="M28" s="1138"/>
      <c r="N28" s="1006"/>
      <c r="O28" s="385"/>
      <c r="P28" s="384"/>
      <c r="Q28" s="384"/>
      <c r="R28" s="384"/>
      <c r="S28" s="385"/>
      <c r="T28" s="384"/>
      <c r="U28" s="384"/>
      <c r="V28" s="384"/>
      <c r="W28"/>
    </row>
    <row r="29" spans="7:24" ht="14.4">
      <c r="G29" s="962"/>
      <c r="H29" s="1137" t="s">
        <v>22</v>
      </c>
      <c r="I29" s="1134"/>
      <c r="J29" s="1134"/>
      <c r="K29" s="1134"/>
      <c r="L29" s="1134"/>
      <c r="M29" s="1134"/>
      <c r="N29" s="697">
        <f t="shared" ref="N29:T31" si="12">+SUMIF($H$75:$H$268,$H29,N$75:N$268)*SUMIF($H$75:$H$268,$H29,$G$75:$G$268)</f>
        <v>333.67737</v>
      </c>
      <c r="O29" s="575">
        <f t="shared" si="12"/>
        <v>330.22554000000002</v>
      </c>
      <c r="P29" s="574">
        <f t="shared" si="12"/>
        <v>325.45209</v>
      </c>
      <c r="Q29" s="574">
        <f t="shared" si="12"/>
        <v>320.75564000000003</v>
      </c>
      <c r="R29" s="574">
        <f t="shared" si="12"/>
        <v>318.09802999999999</v>
      </c>
      <c r="S29" s="575">
        <f t="shared" si="12"/>
        <v>313.43338</v>
      </c>
      <c r="T29" s="574">
        <f t="shared" si="12"/>
        <v>308.98185000000001</v>
      </c>
      <c r="U29" s="574"/>
      <c r="V29" s="574"/>
      <c r="W29"/>
      <c r="X29" s="610"/>
    </row>
    <row r="30" spans="7:24" ht="14.4">
      <c r="G30" s="963"/>
      <c r="H30" s="1134" t="s">
        <v>23</v>
      </c>
      <c r="I30" s="1134"/>
      <c r="J30" s="1134"/>
      <c r="K30" s="1134"/>
      <c r="L30" s="1134"/>
      <c r="M30" s="1134"/>
      <c r="N30" s="697">
        <f t="shared" si="12"/>
        <v>0</v>
      </c>
      <c r="O30" s="575">
        <f t="shared" si="12"/>
        <v>0</v>
      </c>
      <c r="P30" s="574">
        <f t="shared" si="12"/>
        <v>0</v>
      </c>
      <c r="Q30" s="574">
        <f t="shared" si="12"/>
        <v>0</v>
      </c>
      <c r="R30" s="574">
        <f t="shared" si="12"/>
        <v>0</v>
      </c>
      <c r="S30" s="575">
        <f t="shared" si="12"/>
        <v>0</v>
      </c>
      <c r="T30" s="574">
        <f t="shared" si="12"/>
        <v>0</v>
      </c>
      <c r="U30" s="574"/>
      <c r="V30" s="574"/>
      <c r="W30"/>
      <c r="X30" s="610"/>
    </row>
    <row r="31" spans="7:24" ht="14.4">
      <c r="G31" s="963"/>
      <c r="H31" s="1134" t="s">
        <v>24</v>
      </c>
      <c r="I31" s="1134"/>
      <c r="J31" s="1134"/>
      <c r="K31" s="1134"/>
      <c r="L31" s="1134"/>
      <c r="M31" s="1134"/>
      <c r="N31" s="697">
        <f t="shared" si="12"/>
        <v>2231483.2252115407</v>
      </c>
      <c r="O31" s="575">
        <f t="shared" si="12"/>
        <v>2253434.6335455338</v>
      </c>
      <c r="P31" s="574">
        <f t="shared" si="12"/>
        <v>2270996.4918966359</v>
      </c>
      <c r="Q31" s="574">
        <f t="shared" si="12"/>
        <v>2319750.1036957987</v>
      </c>
      <c r="R31" s="574">
        <f t="shared" si="12"/>
        <v>2416148.7048707833</v>
      </c>
      <c r="S31" s="575">
        <f t="shared" si="12"/>
        <v>2440206.9593429882</v>
      </c>
      <c r="T31" s="574">
        <f t="shared" si="12"/>
        <v>2473436.4893396529</v>
      </c>
      <c r="U31" s="574"/>
      <c r="V31" s="574"/>
      <c r="W31"/>
      <c r="X31" s="610"/>
    </row>
    <row r="32" spans="7:24" ht="14.4">
      <c r="G32" s="963"/>
      <c r="H32" s="1134" t="s">
        <v>25</v>
      </c>
      <c r="I32" s="1134"/>
      <c r="J32" s="1134"/>
      <c r="K32" s="1134"/>
      <c r="L32" s="1134"/>
      <c r="M32" s="1134"/>
      <c r="N32" s="697"/>
      <c r="O32" s="575"/>
      <c r="P32" s="574"/>
      <c r="Q32" s="574"/>
      <c r="R32" s="574"/>
      <c r="S32" s="575"/>
      <c r="T32" s="574"/>
      <c r="U32" s="574"/>
      <c r="V32" s="574"/>
      <c r="W32"/>
      <c r="X32" s="610"/>
    </row>
    <row r="33" spans="7:25" ht="14.4">
      <c r="G33" s="963"/>
      <c r="H33" s="964"/>
      <c r="I33" s="1133" t="s">
        <v>26</v>
      </c>
      <c r="J33" s="1133"/>
      <c r="K33" s="1133"/>
      <c r="L33" s="1133"/>
      <c r="M33" s="1133"/>
      <c r="N33" s="697">
        <f t="shared" ref="N33:T35" si="13">+SUMIF($H$75:$H$268,$I33,N$75:N$268)*SUMIF($H$75:$H$268,$I33,$G$75:$G$268)</f>
        <v>-162841.99281999998</v>
      </c>
      <c r="O33" s="575">
        <f t="shared" si="13"/>
        <v>-133763.54121</v>
      </c>
      <c r="P33" s="574">
        <f t="shared" si="13"/>
        <v>-124629.05531</v>
      </c>
      <c r="Q33" s="574">
        <f t="shared" si="13"/>
        <v>-91680.181700000001</v>
      </c>
      <c r="R33" s="574">
        <f t="shared" si="13"/>
        <v>-89323.366529999999</v>
      </c>
      <c r="S33" s="575">
        <f t="shared" si="13"/>
        <v>-121050.96218</v>
      </c>
      <c r="T33" s="574">
        <f t="shared" si="13"/>
        <v>-110635.45735</v>
      </c>
      <c r="U33" s="574"/>
      <c r="V33" s="574"/>
      <c r="W33"/>
      <c r="X33" s="610"/>
    </row>
    <row r="34" spans="7:25" ht="14.4">
      <c r="G34" s="963"/>
      <c r="H34" s="964"/>
      <c r="I34" s="1133" t="s">
        <v>749</v>
      </c>
      <c r="J34" s="1133"/>
      <c r="K34" s="1133"/>
      <c r="L34" s="1133"/>
      <c r="M34" s="1133"/>
      <c r="N34" s="697">
        <f t="shared" si="13"/>
        <v>224833.12473000001</v>
      </c>
      <c r="O34" s="575">
        <f t="shared" si="13"/>
        <v>171598.58919999999</v>
      </c>
      <c r="P34" s="574">
        <f t="shared" si="13"/>
        <v>174626.27707000001</v>
      </c>
      <c r="Q34" s="574">
        <f t="shared" si="13"/>
        <v>89692.045450000005</v>
      </c>
      <c r="R34" s="574">
        <f t="shared" si="13"/>
        <v>134594.15861000001</v>
      </c>
      <c r="S34" s="575">
        <f t="shared" si="13"/>
        <v>223792.23028999998</v>
      </c>
      <c r="T34" s="574">
        <f t="shared" si="13"/>
        <v>190795.67458000002</v>
      </c>
      <c r="U34" s="574"/>
      <c r="V34" s="574"/>
      <c r="W34"/>
      <c r="X34" s="610"/>
    </row>
    <row r="35" spans="7:25" ht="14.4">
      <c r="G35" s="963"/>
      <c r="H35" s="964"/>
      <c r="I35" s="1133" t="s">
        <v>27</v>
      </c>
      <c r="J35" s="1133"/>
      <c r="K35" s="1133"/>
      <c r="L35" s="1133"/>
      <c r="M35" s="1133"/>
      <c r="N35" s="1002">
        <f t="shared" si="13"/>
        <v>-34766.627185607453</v>
      </c>
      <c r="O35" s="579">
        <f t="shared" si="13"/>
        <v>-35190.952892659603</v>
      </c>
      <c r="P35" s="578">
        <f t="shared" si="13"/>
        <v>-13802.734374990772</v>
      </c>
      <c r="Q35" s="578">
        <f t="shared" si="13"/>
        <v>-22191.147693396419</v>
      </c>
      <c r="R35" s="578">
        <f t="shared" si="13"/>
        <v>-15836.406847230606</v>
      </c>
      <c r="S35" s="579">
        <f t="shared" si="13"/>
        <v>-23387.50672027592</v>
      </c>
      <c r="T35" s="578">
        <f t="shared" si="13"/>
        <v>-30952.259644062</v>
      </c>
      <c r="U35" s="578"/>
      <c r="V35" s="578"/>
      <c r="W35"/>
      <c r="X35" s="610"/>
    </row>
    <row r="36" spans="7:25" ht="14.4">
      <c r="G36" s="963"/>
      <c r="H36" s="964"/>
      <c r="I36" s="964"/>
      <c r="J36" s="1133" t="s">
        <v>822</v>
      </c>
      <c r="K36" s="1133"/>
      <c r="L36" s="1133"/>
      <c r="M36" s="1133"/>
      <c r="N36" s="1005">
        <f t="shared" ref="N36:S36" si="14">+SUM(N29:N35)</f>
        <v>2259041.4073059335</v>
      </c>
      <c r="O36" s="581">
        <f t="shared" si="14"/>
        <v>2256408.9541828739</v>
      </c>
      <c r="P36" s="580">
        <f t="shared" si="14"/>
        <v>2307516.4313716446</v>
      </c>
      <c r="Q36" s="580">
        <f t="shared" si="14"/>
        <v>2295891.5753924022</v>
      </c>
      <c r="R36" s="580">
        <f t="shared" si="14"/>
        <v>2445901.1881335527</v>
      </c>
      <c r="S36" s="581">
        <f t="shared" si="14"/>
        <v>2519874.154112712</v>
      </c>
      <c r="T36" s="580">
        <f t="shared" ref="T36" si="15">+SUM(T29:T35)</f>
        <v>2522953.4287755913</v>
      </c>
      <c r="U36" s="580"/>
      <c r="V36" s="580"/>
      <c r="W36"/>
      <c r="X36" s="610"/>
    </row>
    <row r="37" spans="7:25" ht="15" thickBot="1">
      <c r="G37" s="963"/>
      <c r="H37" s="964"/>
      <c r="I37" s="964"/>
      <c r="J37" s="1133" t="s">
        <v>648</v>
      </c>
      <c r="K37" s="1133"/>
      <c r="L37" s="1133"/>
      <c r="M37" s="1133"/>
      <c r="N37" s="1003">
        <f t="shared" ref="N37:S37" si="16">+N24+N26+N36</f>
        <v>14582022.024797995</v>
      </c>
      <c r="O37" s="573">
        <f t="shared" si="16"/>
        <v>14589010.047427244</v>
      </c>
      <c r="P37" s="572">
        <f t="shared" si="16"/>
        <v>14829834.235794809</v>
      </c>
      <c r="Q37" s="572">
        <f t="shared" si="16"/>
        <v>14847759.118350599</v>
      </c>
      <c r="R37" s="572">
        <f t="shared" si="16"/>
        <v>15012335.874060523</v>
      </c>
      <c r="S37" s="573">
        <f t="shared" si="16"/>
        <v>14677425.803095173</v>
      </c>
      <c r="T37" s="572">
        <f t="shared" ref="T37" si="17">+T24+T26+T36</f>
        <v>14781939.271216251</v>
      </c>
      <c r="U37" s="572"/>
      <c r="V37" s="572"/>
      <c r="W37"/>
      <c r="X37" s="610"/>
    </row>
    <row r="38" spans="7:25" ht="7.5" customHeight="1" thickTop="1">
      <c r="G38" s="963"/>
      <c r="H38" s="964"/>
      <c r="I38" s="964"/>
      <c r="J38" s="968"/>
      <c r="K38" s="964"/>
      <c r="L38" s="968"/>
      <c r="M38" s="964"/>
      <c r="N38" s="1004"/>
      <c r="O38" s="154"/>
      <c r="P38" s="153"/>
      <c r="Q38" s="153"/>
      <c r="R38" s="153"/>
      <c r="S38" s="154"/>
      <c r="T38" s="153"/>
      <c r="U38" s="153"/>
      <c r="V38" s="153"/>
      <c r="W38"/>
    </row>
    <row r="39" spans="7:25" ht="14.4">
      <c r="G39" s="1135" t="s">
        <v>28</v>
      </c>
      <c r="H39" s="1135"/>
      <c r="I39" s="1135"/>
      <c r="J39" s="1135"/>
      <c r="K39" s="1135"/>
      <c r="L39" s="1135"/>
      <c r="M39" s="1135"/>
      <c r="N39" s="1004"/>
      <c r="O39" s="154"/>
      <c r="P39" s="153"/>
      <c r="Q39" s="153"/>
      <c r="R39" s="153"/>
      <c r="S39" s="154"/>
      <c r="T39" s="153"/>
      <c r="U39" s="153"/>
      <c r="V39" s="153"/>
      <c r="W39"/>
    </row>
    <row r="40" spans="7:25" ht="14.4">
      <c r="G40" s="1133" t="s">
        <v>29</v>
      </c>
      <c r="H40" s="1133"/>
      <c r="I40" s="1133"/>
      <c r="J40" s="1133"/>
      <c r="K40" s="1133"/>
      <c r="L40" s="1133"/>
      <c r="M40" s="1133"/>
      <c r="N40" s="994">
        <f>+N36</f>
        <v>2259041.4073059335</v>
      </c>
      <c r="O40" s="571">
        <f>+O36</f>
        <v>2256408.9541828739</v>
      </c>
      <c r="P40" s="570">
        <f t="shared" ref="P40:R40" si="18">+P36</f>
        <v>2307516.4313716446</v>
      </c>
      <c r="Q40" s="570">
        <f t="shared" si="18"/>
        <v>2295891.5753924022</v>
      </c>
      <c r="R40" s="570">
        <f t="shared" si="18"/>
        <v>2445901.1881335527</v>
      </c>
      <c r="S40" s="571">
        <f t="shared" ref="S40" si="19">+S36</f>
        <v>2519874.154112712</v>
      </c>
      <c r="T40" s="570">
        <f t="shared" ref="T40" si="20">+T36</f>
        <v>2522953.4287755913</v>
      </c>
      <c r="U40" s="570"/>
      <c r="V40" s="570"/>
      <c r="W40"/>
      <c r="X40" s="610"/>
    </row>
    <row r="41" spans="7:25" ht="14.4">
      <c r="G41" s="963"/>
      <c r="H41" s="1134" t="s">
        <v>30</v>
      </c>
      <c r="I41" s="1134"/>
      <c r="J41" s="1134"/>
      <c r="K41" s="1134"/>
      <c r="L41" s="1134"/>
      <c r="M41" s="1134"/>
      <c r="N41" s="697">
        <f t="shared" ref="N41" si="21">+N33</f>
        <v>-162841.99281999998</v>
      </c>
      <c r="O41" s="575">
        <f t="shared" ref="O41:R41" si="22">+O33</f>
        <v>-133763.54121</v>
      </c>
      <c r="P41" s="574">
        <f t="shared" si="22"/>
        <v>-124629.05531</v>
      </c>
      <c r="Q41" s="574">
        <f t="shared" si="22"/>
        <v>-91680.181700000001</v>
      </c>
      <c r="R41" s="574">
        <f t="shared" si="22"/>
        <v>-89323.366529999999</v>
      </c>
      <c r="S41" s="575">
        <f t="shared" ref="S41" si="23">+S33</f>
        <v>-121050.96218</v>
      </c>
      <c r="T41" s="574">
        <f t="shared" ref="T41" si="24">+T33</f>
        <v>-110635.45735</v>
      </c>
      <c r="U41" s="574"/>
      <c r="V41" s="574"/>
      <c r="W41"/>
      <c r="X41" s="610"/>
    </row>
    <row r="42" spans="7:25" ht="14.4">
      <c r="G42" s="963"/>
      <c r="H42" s="1134" t="s">
        <v>751</v>
      </c>
      <c r="I42" s="1134"/>
      <c r="J42" s="1134"/>
      <c r="K42" s="1134"/>
      <c r="L42" s="1134"/>
      <c r="M42" s="1134"/>
      <c r="N42" s="697">
        <f t="shared" ref="N42" si="25">+N34</f>
        <v>224833.12473000001</v>
      </c>
      <c r="O42" s="575">
        <f t="shared" ref="O42:R42" si="26">+O34</f>
        <v>171598.58919999999</v>
      </c>
      <c r="P42" s="574">
        <f t="shared" si="26"/>
        <v>174626.27707000001</v>
      </c>
      <c r="Q42" s="574">
        <f t="shared" si="26"/>
        <v>89692.045450000005</v>
      </c>
      <c r="R42" s="574">
        <f t="shared" si="26"/>
        <v>134594.15861000001</v>
      </c>
      <c r="S42" s="575">
        <f t="shared" ref="S42" si="27">+S34</f>
        <v>223792.23028999998</v>
      </c>
      <c r="T42" s="574">
        <f t="shared" ref="T42" si="28">+T34</f>
        <v>190795.67458000002</v>
      </c>
      <c r="U42" s="574"/>
      <c r="V42" s="574"/>
      <c r="W42"/>
      <c r="X42" s="610"/>
    </row>
    <row r="43" spans="7:25" ht="15" thickBot="1">
      <c r="G43" s="963"/>
      <c r="H43" s="967"/>
      <c r="I43" s="964"/>
      <c r="J43" s="1133" t="s">
        <v>31</v>
      </c>
      <c r="K43" s="1133"/>
      <c r="L43" s="1133"/>
      <c r="M43" s="1133"/>
      <c r="N43" s="1003">
        <f t="shared" ref="N43" si="29">+N40-SUM(N41:N42)</f>
        <v>2197050.2753959335</v>
      </c>
      <c r="O43" s="573">
        <f t="shared" ref="O43:R43" si="30">+O40-SUM(O41:O42)</f>
        <v>2218573.9061928741</v>
      </c>
      <c r="P43" s="572">
        <f t="shared" si="30"/>
        <v>2257519.2096116445</v>
      </c>
      <c r="Q43" s="572">
        <f t="shared" si="30"/>
        <v>2297879.7116424022</v>
      </c>
      <c r="R43" s="572">
        <f t="shared" si="30"/>
        <v>2400630.3960535526</v>
      </c>
      <c r="S43" s="573">
        <f t="shared" ref="S43" si="31">+S40-SUM(S41:S42)</f>
        <v>2417132.886002712</v>
      </c>
      <c r="T43" s="572">
        <f t="shared" ref="T43" si="32">+T40-SUM(T41:T42)</f>
        <v>2442793.2115455912</v>
      </c>
      <c r="U43" s="572"/>
      <c r="V43" s="572"/>
      <c r="W43"/>
      <c r="X43" s="610"/>
    </row>
    <row r="44" spans="7:25" ht="7.5" customHeight="1" thickTop="1">
      <c r="G44" s="963"/>
      <c r="H44" s="964"/>
      <c r="I44" s="964"/>
      <c r="J44" s="968"/>
      <c r="K44" s="964"/>
      <c r="L44" s="968"/>
      <c r="M44" s="964"/>
      <c r="N44" s="1004"/>
      <c r="O44" s="154"/>
      <c r="P44" s="153"/>
      <c r="Q44" s="153"/>
      <c r="R44" s="153"/>
      <c r="S44" s="154"/>
      <c r="T44" s="153"/>
      <c r="U44" s="153"/>
      <c r="V44" s="153"/>
      <c r="W44"/>
    </row>
    <row r="45" spans="7:25" ht="14.4">
      <c r="G45" s="1135" t="s">
        <v>711</v>
      </c>
      <c r="H45" s="1135"/>
      <c r="I45" s="1135"/>
      <c r="J45" s="1135"/>
      <c r="K45" s="1135"/>
      <c r="L45" s="1135"/>
      <c r="M45" s="1135"/>
      <c r="N45" s="1004"/>
      <c r="O45" s="154"/>
      <c r="P45" s="153"/>
      <c r="Q45" s="153"/>
      <c r="R45" s="153"/>
      <c r="S45" s="154"/>
      <c r="T45" s="153"/>
      <c r="U45" s="153"/>
      <c r="V45" s="153"/>
      <c r="W45"/>
    </row>
    <row r="46" spans="7:25" ht="14.4">
      <c r="G46" s="1133" t="s">
        <v>32</v>
      </c>
      <c r="H46" s="1133"/>
      <c r="I46" s="1133"/>
      <c r="J46" s="1133"/>
      <c r="K46" s="1133"/>
      <c r="L46" s="1133"/>
      <c r="M46" s="1133"/>
      <c r="N46" s="994"/>
      <c r="O46" s="571">
        <f t="shared" ref="O46" si="33">+N43</f>
        <v>2197050.2753959335</v>
      </c>
      <c r="P46" s="570">
        <f t="shared" ref="P46" si="34">+O43</f>
        <v>2218573.9061928741</v>
      </c>
      <c r="Q46" s="570">
        <f t="shared" ref="Q46" si="35">+P43</f>
        <v>2257519.2096116445</v>
      </c>
      <c r="R46" s="570">
        <f t="shared" ref="R46" si="36">+Q43</f>
        <v>2297879.7116424022</v>
      </c>
      <c r="S46" s="571">
        <f t="shared" ref="S46:T46" si="37">+R43</f>
        <v>2400630.3960535526</v>
      </c>
      <c r="T46" s="570">
        <f t="shared" si="37"/>
        <v>2417132.886002712</v>
      </c>
      <c r="U46" s="570"/>
      <c r="V46" s="570"/>
      <c r="W46"/>
      <c r="X46" s="610"/>
    </row>
    <row r="47" spans="7:25" ht="14.4">
      <c r="G47" s="963"/>
      <c r="H47" s="1133" t="s">
        <v>533</v>
      </c>
      <c r="I47" s="1134"/>
      <c r="J47" s="1134"/>
      <c r="K47" s="1134"/>
      <c r="L47" s="1134"/>
      <c r="M47" s="1134"/>
      <c r="N47" s="697"/>
      <c r="O47" s="575">
        <f>+IS!N34</f>
        <v>169050.9504055336</v>
      </c>
      <c r="P47" s="574">
        <f>+IS!O34</f>
        <v>178343.55839110183</v>
      </c>
      <c r="Q47" s="574">
        <f>+IS!P34</f>
        <v>206792.74137916317</v>
      </c>
      <c r="R47" s="574">
        <f>+IS!Q34</f>
        <v>197046.61982498443</v>
      </c>
      <c r="S47" s="575">
        <f>+IS!R34</f>
        <v>190096.02017298818</v>
      </c>
      <c r="T47" s="574">
        <f>+IS!S34</f>
        <v>202278.2967566647</v>
      </c>
      <c r="U47" s="574"/>
      <c r="V47" s="574"/>
      <c r="W47"/>
      <c r="X47" s="610"/>
    </row>
    <row r="48" spans="7:25" ht="14.4">
      <c r="G48" s="963"/>
      <c r="H48" s="1134" t="s">
        <v>33</v>
      </c>
      <c r="I48" s="1134"/>
      <c r="J48" s="1134"/>
      <c r="K48" s="1134"/>
      <c r="L48" s="1134"/>
      <c r="M48" s="1134"/>
      <c r="N48" s="697"/>
      <c r="O48" s="575">
        <f t="shared" ref="O48:T49" si="38">+SUMIF($H$75:$H$268,$H48,O$75:O$268)*SUMIF($H$75:$H$268,$H48,$G$75:$G$268)</f>
        <v>-34736.040950000002</v>
      </c>
      <c r="P48" s="574">
        <f t="shared" si="38"/>
        <v>-34209.15468</v>
      </c>
      <c r="Q48" s="574">
        <f t="shared" si="38"/>
        <v>-33819.168209999996</v>
      </c>
      <c r="R48" s="574">
        <f t="shared" si="38"/>
        <v>-33287.583689999999</v>
      </c>
      <c r="S48" s="575">
        <f t="shared" si="38"/>
        <v>-38116.929709999997</v>
      </c>
      <c r="T48" s="574">
        <f t="shared" si="38"/>
        <v>-37480.15064</v>
      </c>
      <c r="U48" s="574"/>
      <c r="V48" s="574"/>
      <c r="W48"/>
      <c r="X48" s="610"/>
      <c r="Y48" s="1101"/>
    </row>
    <row r="49" spans="7:58" ht="14.4">
      <c r="G49" s="963"/>
      <c r="H49" s="1134" t="s">
        <v>915</v>
      </c>
      <c r="I49" s="1134"/>
      <c r="J49" s="1134"/>
      <c r="K49" s="1134"/>
      <c r="L49" s="1134"/>
      <c r="M49" s="1134"/>
      <c r="N49" s="697"/>
      <c r="O49" s="575">
        <f t="shared" si="38"/>
        <v>-126636.656</v>
      </c>
      <c r="P49" s="574">
        <f t="shared" si="38"/>
        <v>-129123.723</v>
      </c>
      <c r="Q49" s="574">
        <f t="shared" si="38"/>
        <v>-128999.702</v>
      </c>
      <c r="R49" s="574">
        <f t="shared" si="38"/>
        <v>-74653.765070000009</v>
      </c>
      <c r="S49" s="575">
        <f t="shared" si="38"/>
        <v>-140974.489</v>
      </c>
      <c r="T49" s="574">
        <f t="shared" si="38"/>
        <v>-135295.23800000001</v>
      </c>
      <c r="U49" s="574"/>
      <c r="V49" s="574"/>
      <c r="W49"/>
      <c r="X49" s="610"/>
    </row>
    <row r="50" spans="7:58" ht="14.4">
      <c r="G50" s="963"/>
      <c r="H50" s="1134" t="s">
        <v>34</v>
      </c>
      <c r="I50" s="1134"/>
      <c r="J50" s="1134"/>
      <c r="K50" s="1134"/>
      <c r="L50" s="1134"/>
      <c r="M50" s="1134"/>
      <c r="N50" s="697"/>
      <c r="O50" s="575">
        <f t="shared" ref="O50" si="39">+O35-N35</f>
        <v>-424.32570705215039</v>
      </c>
      <c r="P50" s="574">
        <f t="shared" ref="P50" si="40">+P35-O35</f>
        <v>21388.218517668829</v>
      </c>
      <c r="Q50" s="574">
        <f t="shared" ref="Q50" si="41">+Q35-P35</f>
        <v>-8388.4133184056464</v>
      </c>
      <c r="R50" s="574">
        <f t="shared" ref="R50" si="42">+R35-Q35</f>
        <v>6354.7408461658124</v>
      </c>
      <c r="S50" s="575">
        <f t="shared" ref="S50:T50" si="43">+S35-R35</f>
        <v>-7551.0998730453139</v>
      </c>
      <c r="T50" s="574">
        <f t="shared" si="43"/>
        <v>-7564.7529237860799</v>
      </c>
      <c r="U50" s="574"/>
      <c r="V50" s="574"/>
      <c r="W50"/>
      <c r="X50" s="610"/>
    </row>
    <row r="51" spans="7:58" ht="14.4">
      <c r="G51" s="963"/>
      <c r="H51" s="1134" t="s">
        <v>35</v>
      </c>
      <c r="I51" s="1134"/>
      <c r="J51" s="1134"/>
      <c r="K51" s="1134"/>
      <c r="L51" s="1134"/>
      <c r="M51" s="1134"/>
      <c r="N51" s="697"/>
      <c r="O51" s="575">
        <f t="shared" ref="O51:R51" si="44">+O52-SUM(O46:O50)</f>
        <v>14269.703048459254</v>
      </c>
      <c r="P51" s="574">
        <f t="shared" si="44"/>
        <v>2546.4041900001466</v>
      </c>
      <c r="Q51" s="574">
        <f t="shared" si="44"/>
        <v>4775.0441800002009</v>
      </c>
      <c r="R51" s="574">
        <f t="shared" si="44"/>
        <v>7290.6725000003353</v>
      </c>
      <c r="S51" s="575">
        <f t="shared" ref="S51" si="45">+S52-SUM(S46:S50)</f>
        <v>13048.988359216601</v>
      </c>
      <c r="T51" s="574">
        <f t="shared" ref="T51" si="46">+T52-SUM(T46:T50)</f>
        <v>3722.1703500007279</v>
      </c>
      <c r="U51" s="574"/>
      <c r="V51" s="574"/>
      <c r="W51"/>
      <c r="X51" s="610"/>
    </row>
    <row r="52" spans="7:58" ht="15" thickBot="1">
      <c r="G52" s="1133" t="s">
        <v>36</v>
      </c>
      <c r="H52" s="1133"/>
      <c r="I52" s="1133"/>
      <c r="J52" s="1133"/>
      <c r="K52" s="1133"/>
      <c r="L52" s="1133"/>
      <c r="M52" s="1133"/>
      <c r="N52" s="1003"/>
      <c r="O52" s="573">
        <f t="shared" ref="O52:R52" si="47">+O43</f>
        <v>2218573.9061928741</v>
      </c>
      <c r="P52" s="572">
        <f t="shared" si="47"/>
        <v>2257519.2096116445</v>
      </c>
      <c r="Q52" s="572">
        <f t="shared" si="47"/>
        <v>2297879.7116424022</v>
      </c>
      <c r="R52" s="572">
        <f t="shared" si="47"/>
        <v>2400630.3960535526</v>
      </c>
      <c r="S52" s="573">
        <f t="shared" ref="S52" si="48">+S43</f>
        <v>2417132.886002712</v>
      </c>
      <c r="T52" s="572">
        <f t="shared" ref="T52" si="49">+T43</f>
        <v>2442793.2115455912</v>
      </c>
      <c r="U52" s="572"/>
      <c r="V52" s="572"/>
      <c r="W52"/>
      <c r="X52" s="610"/>
    </row>
    <row r="53" spans="7:58" ht="7.5" customHeight="1" thickTop="1">
      <c r="G53" s="963"/>
      <c r="H53" s="964"/>
      <c r="I53" s="964"/>
      <c r="J53" s="968"/>
      <c r="K53" s="964"/>
      <c r="L53" s="968"/>
      <c r="M53" s="964"/>
      <c r="N53" s="1004"/>
      <c r="O53" s="154"/>
      <c r="P53" s="153"/>
      <c r="Q53" s="153"/>
      <c r="R53" s="153"/>
      <c r="S53" s="154"/>
      <c r="T53" s="153"/>
      <c r="U53" s="153"/>
      <c r="V53" s="153"/>
      <c r="W53"/>
    </row>
    <row r="54" spans="7:58" ht="14.4">
      <c r="G54" s="1136" t="s">
        <v>712</v>
      </c>
      <c r="H54" s="1136"/>
      <c r="I54" s="1136"/>
      <c r="J54" s="1136"/>
      <c r="K54" s="1136"/>
      <c r="L54" s="1136"/>
      <c r="M54" s="1136"/>
      <c r="N54" s="1007"/>
      <c r="O54" s="311"/>
      <c r="P54" s="310"/>
      <c r="Q54" s="310"/>
      <c r="R54" s="310"/>
      <c r="S54" s="311"/>
      <c r="T54" s="310"/>
      <c r="U54" s="312"/>
      <c r="V54" s="312"/>
      <c r="W54"/>
    </row>
    <row r="55" spans="7:58" ht="14.4">
      <c r="G55" s="1133" t="s">
        <v>32</v>
      </c>
      <c r="H55" s="1133"/>
      <c r="I55" s="1133"/>
      <c r="J55" s="1133"/>
      <c r="K55" s="1133"/>
      <c r="L55" s="1133"/>
      <c r="M55" s="1133"/>
      <c r="N55" s="994"/>
      <c r="O55" s="571">
        <f>N11</f>
        <v>3680429.6126044733</v>
      </c>
      <c r="P55" s="570">
        <f t="shared" ref="P55" si="50">+O60</f>
        <v>3742692.6005415828</v>
      </c>
      <c r="Q55" s="570">
        <f t="shared" ref="Q55" si="51">+P60</f>
        <v>3817119.1599755418</v>
      </c>
      <c r="R55" s="570">
        <f t="shared" ref="R55" si="52">+Q60</f>
        <v>3863442.3276038934</v>
      </c>
      <c r="S55" s="571">
        <f t="shared" ref="S55:T55" si="53">+R60</f>
        <v>3915998.4020114345</v>
      </c>
      <c r="T55" s="570">
        <f t="shared" si="53"/>
        <v>3954334.0922379862</v>
      </c>
      <c r="U55" s="570"/>
      <c r="V55" s="570"/>
      <c r="W55"/>
      <c r="X55" s="610"/>
    </row>
    <row r="56" spans="7:58" ht="14.4">
      <c r="G56" s="963"/>
      <c r="H56" s="1134" t="s">
        <v>37</v>
      </c>
      <c r="I56" s="1134"/>
      <c r="J56" s="1134"/>
      <c r="K56" s="1134"/>
      <c r="L56" s="1134"/>
      <c r="M56" s="1134"/>
      <c r="N56" s="697"/>
      <c r="O56" s="575">
        <f t="shared" ref="O56:T58" si="54">+SUMIF($H$75:$H$268,$H56,O$75:O$268)*SUMIF($H$75:$H$268,$H56,$G$75:$G$268)</f>
        <v>10883.10765795475</v>
      </c>
      <c r="P56" s="574">
        <f t="shared" si="54"/>
        <v>11604.771497214981</v>
      </c>
      <c r="Q56" s="574">
        <f t="shared" si="54"/>
        <v>11234.524652400329</v>
      </c>
      <c r="R56" s="574">
        <f t="shared" si="54"/>
        <v>10367.961318630549</v>
      </c>
      <c r="S56" s="575">
        <f t="shared" si="54"/>
        <v>11362.765751374511</v>
      </c>
      <c r="T56" s="574">
        <f t="shared" si="54"/>
        <v>10958.180667612811</v>
      </c>
      <c r="U56" s="574"/>
      <c r="V56" s="574"/>
      <c r="W56"/>
      <c r="X56" s="610"/>
    </row>
    <row r="57" spans="7:58" ht="14.4">
      <c r="G57" s="963"/>
      <c r="H57" s="1134" t="s">
        <v>38</v>
      </c>
      <c r="I57" s="1134"/>
      <c r="J57" s="1134"/>
      <c r="K57" s="1134"/>
      <c r="L57" s="1134"/>
      <c r="M57" s="1134"/>
      <c r="N57" s="697"/>
      <c r="O57" s="575">
        <f t="shared" si="54"/>
        <v>130161.5369749549</v>
      </c>
      <c r="P57" s="574">
        <f t="shared" si="54"/>
        <v>126272.23615906147</v>
      </c>
      <c r="Q57" s="574">
        <f t="shared" si="54"/>
        <v>122849.94471051068</v>
      </c>
      <c r="R57" s="574">
        <f t="shared" si="54"/>
        <v>120125.14281868073</v>
      </c>
      <c r="S57" s="575">
        <f t="shared" si="54"/>
        <v>117127.57657293268</v>
      </c>
      <c r="T57" s="574">
        <f t="shared" si="54"/>
        <v>116729.72252419019</v>
      </c>
      <c r="U57" s="574"/>
      <c r="V57" s="574"/>
      <c r="W57"/>
      <c r="X57" s="610"/>
    </row>
    <row r="58" spans="7:58" ht="14.4">
      <c r="G58" s="963"/>
      <c r="H58" s="1134" t="s">
        <v>39</v>
      </c>
      <c r="I58" s="1134"/>
      <c r="J58" s="1134"/>
      <c r="K58" s="1134"/>
      <c r="L58" s="1134"/>
      <c r="M58" s="1134"/>
      <c r="N58" s="697"/>
      <c r="O58" s="575">
        <f t="shared" si="54"/>
        <v>-78549.789340624906</v>
      </c>
      <c r="P58" s="574">
        <f t="shared" si="54"/>
        <v>-80042.501979026725</v>
      </c>
      <c r="Q58" s="574">
        <f t="shared" si="54"/>
        <v>-81498.409397386655</v>
      </c>
      <c r="R58" s="574">
        <f t="shared" si="54"/>
        <v>-82812.586776335927</v>
      </c>
      <c r="S58" s="575">
        <f t="shared" si="54"/>
        <v>-84259.913227622907</v>
      </c>
      <c r="T58" s="574">
        <f t="shared" si="54"/>
        <v>-85127.761220652726</v>
      </c>
      <c r="U58" s="574"/>
      <c r="V58" s="574"/>
      <c r="W58"/>
      <c r="X58" s="610"/>
    </row>
    <row r="59" spans="7:58" ht="14.4">
      <c r="G59" s="963"/>
      <c r="H59" s="1134" t="s">
        <v>40</v>
      </c>
      <c r="I59" s="1134"/>
      <c r="J59" s="1134"/>
      <c r="K59" s="1134"/>
      <c r="L59" s="1134"/>
      <c r="M59" s="1134"/>
      <c r="N59" s="697"/>
      <c r="O59" s="575">
        <f t="shared" ref="O59:R59" si="55">+O60-SUM(O55:O58)</f>
        <v>-231.86735517485067</v>
      </c>
      <c r="P59" s="574">
        <f t="shared" si="55"/>
        <v>16592.053756709211</v>
      </c>
      <c r="Q59" s="574">
        <f t="shared" si="55"/>
        <v>-6262.8923371732235</v>
      </c>
      <c r="R59" s="574">
        <f t="shared" si="55"/>
        <v>4875.5570465652272</v>
      </c>
      <c r="S59" s="575">
        <f t="shared" ref="S59" si="56">+S60-SUM(S55:S58)</f>
        <v>-5894.7388701327145</v>
      </c>
      <c r="T59" s="574">
        <f t="shared" ref="T59" si="57">+T60-SUM(T55:T58)</f>
        <v>-5408.6472847210243</v>
      </c>
      <c r="U59" s="574"/>
      <c r="V59" s="574"/>
      <c r="W59"/>
      <c r="X59" s="610"/>
    </row>
    <row r="60" spans="7:58" ht="15" thickBot="1">
      <c r="G60" s="1133" t="s">
        <v>36</v>
      </c>
      <c r="H60" s="1133"/>
      <c r="I60" s="1133"/>
      <c r="J60" s="1133"/>
      <c r="K60" s="1133"/>
      <c r="L60" s="1133"/>
      <c r="M60" s="1133"/>
      <c r="N60" s="1003"/>
      <c r="O60" s="573">
        <f t="shared" ref="O60:T60" si="58">+O11</f>
        <v>3742692.6005415828</v>
      </c>
      <c r="P60" s="572">
        <f t="shared" si="58"/>
        <v>3817119.1599755418</v>
      </c>
      <c r="Q60" s="572">
        <f t="shared" si="58"/>
        <v>3863442.3276038934</v>
      </c>
      <c r="R60" s="572">
        <f t="shared" si="58"/>
        <v>3915998.4020114345</v>
      </c>
      <c r="S60" s="573">
        <f t="shared" si="58"/>
        <v>3954334.0922379862</v>
      </c>
      <c r="T60" s="572">
        <f t="shared" si="58"/>
        <v>3991485.5869244155</v>
      </c>
      <c r="U60" s="572"/>
      <c r="V60" s="572"/>
      <c r="W60"/>
      <c r="X60" s="610"/>
    </row>
    <row r="61" spans="7:58" ht="7.5" customHeight="1" thickTop="1">
      <c r="G61" s="969"/>
      <c r="H61" s="160"/>
      <c r="I61" s="160"/>
      <c r="J61" s="160"/>
      <c r="K61" s="160"/>
      <c r="L61" s="160"/>
      <c r="M61" s="160"/>
      <c r="N61" s="160"/>
      <c r="O61" s="160"/>
      <c r="P61" s="160"/>
      <c r="Q61" s="160"/>
      <c r="R61" s="160"/>
      <c r="S61" s="160"/>
      <c r="T61" s="417"/>
      <c r="U61" s="417"/>
      <c r="V61" s="160"/>
      <c r="W61"/>
    </row>
    <row r="62" spans="7:58" ht="7.5" customHeight="1">
      <c r="W62"/>
    </row>
    <row r="63" spans="7:58">
      <c r="G63" s="970" t="s">
        <v>42</v>
      </c>
      <c r="H63" s="1132" t="s">
        <v>43</v>
      </c>
      <c r="I63" s="1132"/>
      <c r="J63" s="1132"/>
      <c r="K63" s="1132"/>
      <c r="L63" s="1132"/>
      <c r="M63" s="1132"/>
      <c r="N63" s="1132"/>
      <c r="O63" s="1132"/>
      <c r="P63" s="1132"/>
      <c r="Q63" s="1132"/>
      <c r="R63" s="1132"/>
      <c r="S63" s="1132"/>
      <c r="T63" s="1132"/>
      <c r="U63" s="1132"/>
      <c r="V63" s="1132"/>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86"/>
      <c r="AV63" s="386"/>
      <c r="AW63" s="386"/>
      <c r="AX63" s="386"/>
      <c r="AY63" s="386"/>
      <c r="AZ63" s="386"/>
      <c r="BA63" s="386"/>
      <c r="BB63" s="386"/>
      <c r="BC63" s="386"/>
      <c r="BD63" s="386"/>
      <c r="BE63" s="386"/>
      <c r="BF63" s="386"/>
    </row>
    <row r="68" spans="1:22">
      <c r="N68" s="252"/>
      <c r="O68" s="252" t="str">
        <f>+Corp!N72</f>
        <v>Yes</v>
      </c>
      <c r="P68" s="252" t="str">
        <f>+Corp!O72</f>
        <v>Yes</v>
      </c>
      <c r="Q68" s="252" t="str">
        <f>+Corp!P72</f>
        <v/>
      </c>
      <c r="R68" s="252" t="str">
        <f>+Corp!Q72</f>
        <v/>
      </c>
      <c r="S68" s="252" t="str">
        <f>+Corp!R72</f>
        <v>Yes</v>
      </c>
      <c r="T68" s="346" t="str">
        <f>+Corp!S72</f>
        <v>Yes</v>
      </c>
      <c r="U68" s="346" t="str">
        <f>+Corp!T72</f>
        <v/>
      </c>
      <c r="V68" s="252" t="str">
        <f>+Corp!U72</f>
        <v/>
      </c>
    </row>
    <row r="69" spans="1:22" s="252" customFormat="1">
      <c r="A69" s="274"/>
      <c r="B69" s="274"/>
      <c r="C69" s="274"/>
      <c r="D69" s="274"/>
      <c r="E69" s="274"/>
      <c r="F69" s="274"/>
      <c r="G69" s="971"/>
      <c r="N69" s="388" t="s">
        <v>820</v>
      </c>
      <c r="O69" s="1102" t="s">
        <v>886</v>
      </c>
      <c r="P69" s="1103" t="s">
        <v>887</v>
      </c>
      <c r="Q69" s="1103" t="s">
        <v>888</v>
      </c>
      <c r="R69" s="1103" t="s">
        <v>889</v>
      </c>
      <c r="S69" s="1102" t="s">
        <v>903</v>
      </c>
      <c r="T69" s="418" t="s">
        <v>904</v>
      </c>
      <c r="U69" s="418" t="s">
        <v>905</v>
      </c>
      <c r="V69" s="1103" t="s">
        <v>906</v>
      </c>
    </row>
    <row r="70" spans="1:22" s="252" customFormat="1">
      <c r="A70" s="274"/>
      <c r="B70" s="274"/>
      <c r="C70" s="274"/>
      <c r="D70" s="274"/>
      <c r="E70" s="274"/>
      <c r="F70" s="274"/>
      <c r="G70" s="971"/>
      <c r="N70" s="277" t="str">
        <f t="shared" ref="N70:V70" si="59">+IF((N73+N103+N136)&lt;&gt;0,"ERROR","")</f>
        <v/>
      </c>
      <c r="O70" s="278" t="str">
        <f t="shared" si="59"/>
        <v/>
      </c>
      <c r="P70" s="277" t="str">
        <f t="shared" si="59"/>
        <v/>
      </c>
      <c r="Q70" s="277" t="str">
        <f t="shared" si="59"/>
        <v/>
      </c>
      <c r="R70" s="277" t="str">
        <f t="shared" si="59"/>
        <v/>
      </c>
      <c r="S70" s="278" t="str">
        <f t="shared" si="59"/>
        <v/>
      </c>
      <c r="T70" s="419" t="str">
        <f t="shared" si="59"/>
        <v/>
      </c>
      <c r="U70" s="419" t="str">
        <f t="shared" si="59"/>
        <v>ERROR</v>
      </c>
      <c r="V70" s="277" t="str">
        <f t="shared" si="59"/>
        <v>ERROR</v>
      </c>
    </row>
    <row r="71" spans="1:22">
      <c r="A71" s="279"/>
      <c r="B71" s="280"/>
      <c r="C71" s="280"/>
      <c r="D71" s="280"/>
      <c r="E71" s="280"/>
      <c r="F71" s="280"/>
      <c r="G71" s="281">
        <v>1</v>
      </c>
      <c r="H71" s="893" t="str">
        <f>+J14</f>
        <v>Total assets</v>
      </c>
      <c r="I71" s="893"/>
      <c r="J71" s="893"/>
      <c r="K71" s="893"/>
      <c r="L71" s="893"/>
      <c r="M71" s="893"/>
      <c r="N71" s="281">
        <f t="shared" ref="N71:V71" si="60">+N14</f>
        <v>14582022.024797995</v>
      </c>
      <c r="O71" s="282">
        <f t="shared" si="60"/>
        <v>14589010.047427246</v>
      </c>
      <c r="P71" s="281">
        <f t="shared" si="60"/>
        <v>14829834.235794811</v>
      </c>
      <c r="Q71" s="281">
        <f t="shared" si="60"/>
        <v>14847759.118350595</v>
      </c>
      <c r="R71" s="281">
        <f t="shared" si="60"/>
        <v>15012335.874060523</v>
      </c>
      <c r="S71" s="282">
        <f t="shared" si="60"/>
        <v>14677425.803095173</v>
      </c>
      <c r="T71" s="420">
        <f t="shared" si="60"/>
        <v>14781939.271216251</v>
      </c>
      <c r="U71" s="420">
        <f t="shared" si="60"/>
        <v>0</v>
      </c>
      <c r="V71" s="281">
        <f t="shared" si="60"/>
        <v>0</v>
      </c>
    </row>
    <row r="72" spans="1:22">
      <c r="A72" s="283" t="s">
        <v>52</v>
      </c>
      <c r="B72" s="283" t="s">
        <v>49</v>
      </c>
      <c r="C72" s="283" t="s">
        <v>61</v>
      </c>
      <c r="D72" s="283" t="s">
        <v>62</v>
      </c>
      <c r="E72" s="283" t="s">
        <v>129</v>
      </c>
      <c r="F72" s="283"/>
      <c r="G72" s="284">
        <v>1</v>
      </c>
      <c r="H72" s="894"/>
      <c r="I72" s="145" t="str">
        <f>+RIGHT(D72,LEN(D72)-5)</f>
        <v>Assets</v>
      </c>
      <c r="J72" s="145"/>
      <c r="K72" s="145"/>
      <c r="L72" s="145"/>
      <c r="M72" s="145"/>
      <c r="N72" s="284">
        <v>14582022.024797993</v>
      </c>
      <c r="O72" s="285">
        <v>14589010.047427246</v>
      </c>
      <c r="P72" s="284">
        <v>14829834.235794811</v>
      </c>
      <c r="Q72" s="284">
        <v>14847759.118350593</v>
      </c>
      <c r="R72" s="284">
        <v>15012335.874060525</v>
      </c>
      <c r="S72" s="285">
        <v>14677425.803095173</v>
      </c>
      <c r="T72" s="421">
        <v>14781939.271216251</v>
      </c>
      <c r="U72" s="421">
        <v>8189718.6318805926</v>
      </c>
      <c r="V72" s="284">
        <v>8189718.6318805926</v>
      </c>
    </row>
    <row r="73" spans="1:22" ht="14.4" thickBot="1">
      <c r="G73" s="253"/>
      <c r="I73" s="895" t="s">
        <v>63</v>
      </c>
      <c r="J73" s="895"/>
      <c r="K73" s="895"/>
      <c r="L73" s="895"/>
      <c r="M73" s="895"/>
      <c r="N73" s="288">
        <f t="shared" ref="N73:V73" si="61">+N72-N71</f>
        <v>0</v>
      </c>
      <c r="O73" s="289">
        <f t="shared" si="61"/>
        <v>0</v>
      </c>
      <c r="P73" s="288">
        <f t="shared" si="61"/>
        <v>0</v>
      </c>
      <c r="Q73" s="288">
        <f t="shared" si="61"/>
        <v>0</v>
      </c>
      <c r="R73" s="288">
        <f t="shared" si="61"/>
        <v>0</v>
      </c>
      <c r="S73" s="289">
        <f t="shared" si="61"/>
        <v>0</v>
      </c>
      <c r="T73" s="422">
        <f t="shared" si="61"/>
        <v>0</v>
      </c>
      <c r="U73" s="422">
        <f t="shared" si="61"/>
        <v>8189718.6318805926</v>
      </c>
      <c r="V73" s="288">
        <f t="shared" si="61"/>
        <v>8189718.6318805926</v>
      </c>
    </row>
    <row r="74" spans="1:22" ht="14.4" thickTop="1">
      <c r="G74" s="253"/>
      <c r="N74" s="253"/>
      <c r="O74" s="297"/>
      <c r="P74" s="253"/>
      <c r="Q74" s="253"/>
      <c r="R74" s="253"/>
      <c r="S74" s="297"/>
      <c r="T74" s="423"/>
      <c r="U74" s="423"/>
      <c r="V74" s="253"/>
    </row>
    <row r="75" spans="1:22">
      <c r="A75" s="279"/>
      <c r="B75" s="280"/>
      <c r="C75" s="280"/>
      <c r="D75" s="280"/>
      <c r="E75" s="280"/>
      <c r="F75" s="280"/>
      <c r="G75" s="281">
        <v>1</v>
      </c>
      <c r="H75" s="893" t="str">
        <f>+H7</f>
        <v>Investments and cash excluding securities held to maturity</v>
      </c>
      <c r="I75" s="893"/>
      <c r="J75" s="893"/>
      <c r="K75" s="893"/>
      <c r="L75" s="893"/>
      <c r="M75" s="893"/>
      <c r="N75" s="281">
        <f t="shared" ref="N75:V75" si="62">+SUM(N76:N78)</f>
        <v>3714983.1773417918</v>
      </c>
      <c r="O75" s="282">
        <f t="shared" si="62"/>
        <v>3784534.0802471861</v>
      </c>
      <c r="P75" s="281">
        <f t="shared" si="62"/>
        <v>3798696.710007824</v>
      </c>
      <c r="Q75" s="281">
        <f t="shared" si="62"/>
        <v>3885588.8857408054</v>
      </c>
      <c r="R75" s="281">
        <f t="shared" si="62"/>
        <v>4116941.091646038</v>
      </c>
      <c r="S75" s="282">
        <f t="shared" si="62"/>
        <v>4206352.3489217237</v>
      </c>
      <c r="T75" s="420">
        <f t="shared" si="62"/>
        <v>4259191.766529954</v>
      </c>
      <c r="U75" s="420">
        <f t="shared" si="62"/>
        <v>4214928.197138167</v>
      </c>
      <c r="V75" s="281">
        <f t="shared" si="62"/>
        <v>4214928.197138167</v>
      </c>
    </row>
    <row r="76" spans="1:22">
      <c r="A76" s="283" t="s">
        <v>52</v>
      </c>
      <c r="B76" s="283" t="s">
        <v>49</v>
      </c>
      <c r="C76" s="283" t="s">
        <v>61</v>
      </c>
      <c r="D76" s="283" t="s">
        <v>46</v>
      </c>
      <c r="E76" s="283" t="s">
        <v>129</v>
      </c>
      <c r="F76" s="283"/>
      <c r="G76" s="284">
        <v>1</v>
      </c>
      <c r="H76" s="894"/>
      <c r="I76" s="145" t="str">
        <f>+RIGHT(D76,LEN(D76)-5)</f>
        <v>Invested Assets and Cash</v>
      </c>
      <c r="J76" s="145"/>
      <c r="K76" s="145"/>
      <c r="L76" s="145"/>
      <c r="M76" s="145"/>
      <c r="N76" s="284">
        <v>5018863.1773417918</v>
      </c>
      <c r="O76" s="285">
        <v>5069874.0802471861</v>
      </c>
      <c r="P76" s="284">
        <v>5057496.710007824</v>
      </c>
      <c r="Q76" s="284">
        <v>5127128.8857408054</v>
      </c>
      <c r="R76" s="284">
        <v>5292321.091646038</v>
      </c>
      <c r="S76" s="285">
        <v>5337082.3489217237</v>
      </c>
      <c r="T76" s="421">
        <v>5332711.766529954</v>
      </c>
      <c r="U76" s="421">
        <v>5288448.197138167</v>
      </c>
      <c r="V76" s="284">
        <v>5288448.197138167</v>
      </c>
    </row>
    <row r="77" spans="1:22">
      <c r="A77" s="283"/>
      <c r="B77" s="283"/>
      <c r="C77" s="283"/>
      <c r="G77" s="253">
        <v>-1</v>
      </c>
      <c r="I77" s="146" t="s">
        <v>47</v>
      </c>
      <c r="N77" s="253">
        <f t="shared" ref="N77:V77" si="63">+N79*$G$77</f>
        <v>-1303880</v>
      </c>
      <c r="O77" s="297">
        <f t="shared" si="63"/>
        <v>-1285340.0000000002</v>
      </c>
      <c r="P77" s="253">
        <f t="shared" si="63"/>
        <v>-1258800</v>
      </c>
      <c r="Q77" s="253">
        <f t="shared" si="63"/>
        <v>-1241539.9999999998</v>
      </c>
      <c r="R77" s="253">
        <f t="shared" si="63"/>
        <v>-1175380</v>
      </c>
      <c r="S77" s="297">
        <f t="shared" si="63"/>
        <v>-1130730</v>
      </c>
      <c r="T77" s="423">
        <f t="shared" si="63"/>
        <v>-1073520</v>
      </c>
      <c r="U77" s="423">
        <f t="shared" si="63"/>
        <v>-1073520</v>
      </c>
      <c r="V77" s="253">
        <f t="shared" si="63"/>
        <v>-1073520</v>
      </c>
    </row>
    <row r="78" spans="1:22">
      <c r="G78" s="253"/>
      <c r="N78" s="253"/>
      <c r="O78" s="297"/>
      <c r="P78" s="253"/>
      <c r="Q78" s="253"/>
      <c r="R78" s="253"/>
      <c r="S78" s="297"/>
      <c r="T78" s="423"/>
      <c r="U78" s="423"/>
      <c r="V78" s="253"/>
    </row>
    <row r="79" spans="1:22">
      <c r="A79" s="279"/>
      <c r="B79" s="280"/>
      <c r="C79" s="280"/>
      <c r="D79" s="280"/>
      <c r="E79" s="280"/>
      <c r="F79" s="280"/>
      <c r="G79" s="281">
        <v>1</v>
      </c>
      <c r="H79" s="893" t="str">
        <f>+H8</f>
        <v>Securities held to maturity</v>
      </c>
      <c r="I79" s="893"/>
      <c r="J79" s="893"/>
      <c r="K79" s="893"/>
      <c r="L79" s="893"/>
      <c r="M79" s="893"/>
      <c r="N79" s="281">
        <f t="shared" ref="N79:V79" si="64">+SUM(N80:N81)</f>
        <v>1303880</v>
      </c>
      <c r="O79" s="282">
        <f t="shared" si="64"/>
        <v>1285340.0000000002</v>
      </c>
      <c r="P79" s="281">
        <f t="shared" si="64"/>
        <v>1258800</v>
      </c>
      <c r="Q79" s="281">
        <f t="shared" si="64"/>
        <v>1241539.9999999998</v>
      </c>
      <c r="R79" s="281">
        <f t="shared" si="64"/>
        <v>1175380</v>
      </c>
      <c r="S79" s="282">
        <f t="shared" si="64"/>
        <v>1130730</v>
      </c>
      <c r="T79" s="420">
        <f t="shared" si="64"/>
        <v>1073520</v>
      </c>
      <c r="U79" s="420">
        <f t="shared" si="64"/>
        <v>1073520</v>
      </c>
      <c r="V79" s="281">
        <f t="shared" si="64"/>
        <v>1073520</v>
      </c>
    </row>
    <row r="80" spans="1:22">
      <c r="A80" s="283" t="s">
        <v>52</v>
      </c>
      <c r="B80" s="283" t="s">
        <v>49</v>
      </c>
      <c r="C80" s="283" t="s">
        <v>61</v>
      </c>
      <c r="D80" s="283" t="s">
        <v>45</v>
      </c>
      <c r="E80" s="283" t="s">
        <v>129</v>
      </c>
      <c r="F80" s="283"/>
      <c r="G80" s="284">
        <v>1</v>
      </c>
      <c r="H80" s="894"/>
      <c r="I80" s="145" t="str">
        <f>+RIGHT(D80,LEN(D80)-5)</f>
        <v>Held to Maturity Securities</v>
      </c>
      <c r="J80" s="145"/>
      <c r="K80" s="145"/>
      <c r="L80" s="145"/>
      <c r="M80" s="145"/>
      <c r="N80" s="284">
        <v>1303880</v>
      </c>
      <c r="O80" s="285">
        <v>1285340.0000000002</v>
      </c>
      <c r="P80" s="284">
        <v>1258800</v>
      </c>
      <c r="Q80" s="284">
        <v>1241539.9999999998</v>
      </c>
      <c r="R80" s="284">
        <v>1175380</v>
      </c>
      <c r="S80" s="285">
        <v>1130730</v>
      </c>
      <c r="T80" s="421">
        <v>1073520</v>
      </c>
      <c r="U80" s="421">
        <v>1073520</v>
      </c>
      <c r="V80" s="284">
        <v>1073520</v>
      </c>
    </row>
    <row r="81" spans="1:22">
      <c r="G81" s="253"/>
      <c r="N81" s="253"/>
      <c r="O81" s="297"/>
      <c r="P81" s="253"/>
      <c r="Q81" s="253"/>
      <c r="R81" s="253"/>
      <c r="S81" s="297"/>
      <c r="T81" s="423"/>
      <c r="U81" s="423"/>
      <c r="V81" s="253"/>
    </row>
    <row r="82" spans="1:22">
      <c r="A82" s="279"/>
      <c r="B82" s="280"/>
      <c r="C82" s="280"/>
      <c r="D82" s="280"/>
      <c r="E82" s="280"/>
      <c r="F82" s="280"/>
      <c r="G82" s="281">
        <v>1</v>
      </c>
      <c r="H82" s="893" t="str">
        <f>+H10</f>
        <v>Reinsurance recoverables</v>
      </c>
      <c r="I82" s="893"/>
      <c r="J82" s="893"/>
      <c r="K82" s="893"/>
      <c r="L82" s="893"/>
      <c r="M82" s="893"/>
      <c r="N82" s="281">
        <f t="shared" ref="N82:V82" si="65">+SUM(N83:N84)</f>
        <v>2744165.0687281215</v>
      </c>
      <c r="O82" s="282">
        <f t="shared" si="65"/>
        <v>2722543.8772133514</v>
      </c>
      <c r="P82" s="281">
        <f t="shared" si="65"/>
        <v>2698143.6945382445</v>
      </c>
      <c r="Q82" s="281">
        <f t="shared" si="65"/>
        <v>2596597.4231239343</v>
      </c>
      <c r="R82" s="281">
        <f t="shared" si="65"/>
        <v>2564952.2532418841</v>
      </c>
      <c r="S82" s="282">
        <f t="shared" si="65"/>
        <v>2480051.399268805</v>
      </c>
      <c r="T82" s="420">
        <f t="shared" si="65"/>
        <v>2450744.9989815657</v>
      </c>
      <c r="U82" s="420">
        <f t="shared" si="65"/>
        <v>30572.458121635533</v>
      </c>
      <c r="V82" s="281">
        <f t="shared" si="65"/>
        <v>30572.458121635533</v>
      </c>
    </row>
    <row r="83" spans="1:22">
      <c r="A83" s="283" t="s">
        <v>52</v>
      </c>
      <c r="B83" s="283" t="s">
        <v>49</v>
      </c>
      <c r="C83" s="283" t="s">
        <v>61</v>
      </c>
      <c r="D83" s="283" t="s">
        <v>48</v>
      </c>
      <c r="E83" s="283" t="s">
        <v>129</v>
      </c>
      <c r="F83" s="283"/>
      <c r="G83" s="284">
        <v>1</v>
      </c>
      <c r="H83" s="145"/>
      <c r="I83" s="145" t="str">
        <f>+RIGHT(D83,LEN(D83)-5)</f>
        <v>Due From Reinsurers</v>
      </c>
      <c r="J83" s="145"/>
      <c r="K83" s="145"/>
      <c r="L83" s="145"/>
      <c r="M83" s="145"/>
      <c r="N83" s="284">
        <v>2744165.0687281215</v>
      </c>
      <c r="O83" s="285">
        <v>2722543.8772133514</v>
      </c>
      <c r="P83" s="284">
        <v>2698143.6945382445</v>
      </c>
      <c r="Q83" s="284">
        <v>2596597.4231239343</v>
      </c>
      <c r="R83" s="284">
        <v>2564952.2532418841</v>
      </c>
      <c r="S83" s="285">
        <v>2480051.399268805</v>
      </c>
      <c r="T83" s="421">
        <v>2450744.9989815657</v>
      </c>
      <c r="U83" s="421">
        <v>30572.458121635533</v>
      </c>
      <c r="V83" s="284">
        <v>30572.458121635533</v>
      </c>
    </row>
    <row r="84" spans="1:22">
      <c r="G84" s="253"/>
      <c r="N84" s="253"/>
      <c r="O84" s="297"/>
      <c r="P84" s="253"/>
      <c r="Q84" s="253"/>
      <c r="R84" s="253"/>
      <c r="S84" s="297"/>
      <c r="T84" s="423"/>
      <c r="U84" s="423"/>
      <c r="V84" s="253"/>
    </row>
    <row r="85" spans="1:22">
      <c r="A85" s="279"/>
      <c r="B85" s="280"/>
      <c r="C85" s="280"/>
      <c r="D85" s="280"/>
      <c r="E85" s="280"/>
      <c r="F85" s="280"/>
      <c r="G85" s="281">
        <v>1</v>
      </c>
      <c r="H85" s="893" t="str">
        <f>+H11</f>
        <v>Deferred policy acquisition costs</v>
      </c>
      <c r="I85" s="893"/>
      <c r="J85" s="893"/>
      <c r="K85" s="893"/>
      <c r="L85" s="893"/>
      <c r="M85" s="893"/>
      <c r="N85" s="281">
        <f t="shared" ref="N85:V85" si="66">+SUM(N86:N87)</f>
        <v>3680429.6126044733</v>
      </c>
      <c r="O85" s="282">
        <f t="shared" si="66"/>
        <v>3742692.6005415828</v>
      </c>
      <c r="P85" s="281">
        <f t="shared" si="66"/>
        <v>3817119.1599755418</v>
      </c>
      <c r="Q85" s="281">
        <f t="shared" si="66"/>
        <v>3863442.3276038934</v>
      </c>
      <c r="R85" s="281">
        <f t="shared" si="66"/>
        <v>3915998.4020114345</v>
      </c>
      <c r="S85" s="282">
        <f t="shared" si="66"/>
        <v>3954334.0922379862</v>
      </c>
      <c r="T85" s="420">
        <f t="shared" si="66"/>
        <v>3991485.5869244155</v>
      </c>
      <c r="U85" s="420">
        <f t="shared" si="66"/>
        <v>1.3699999999999999E-3</v>
      </c>
      <c r="V85" s="281">
        <f t="shared" si="66"/>
        <v>1.3699999999999999E-3</v>
      </c>
    </row>
    <row r="86" spans="1:22">
      <c r="A86" s="283" t="s">
        <v>52</v>
      </c>
      <c r="B86" s="283" t="s">
        <v>49</v>
      </c>
      <c r="C86" s="283" t="s">
        <v>61</v>
      </c>
      <c r="D86" s="283" t="s">
        <v>51</v>
      </c>
      <c r="E86" s="283" t="s">
        <v>129</v>
      </c>
      <c r="F86" s="283"/>
      <c r="G86" s="284">
        <v>1</v>
      </c>
      <c r="H86" s="145"/>
      <c r="I86" s="145" t="str">
        <f>+RIGHT(D86,LEN(D86)-5)</f>
        <v>Deferred Policy Acquisition Cost</v>
      </c>
      <c r="J86" s="145"/>
      <c r="K86" s="145"/>
      <c r="L86" s="145"/>
      <c r="M86" s="145"/>
      <c r="N86" s="284">
        <v>3680429.6126044733</v>
      </c>
      <c r="O86" s="285">
        <v>3742692.6005415828</v>
      </c>
      <c r="P86" s="284">
        <v>3817119.1599755418</v>
      </c>
      <c r="Q86" s="284">
        <v>3863442.3276038934</v>
      </c>
      <c r="R86" s="284">
        <v>3915998.4020114345</v>
      </c>
      <c r="S86" s="285">
        <v>3954334.0922379862</v>
      </c>
      <c r="T86" s="421">
        <v>3991485.5869244155</v>
      </c>
      <c r="U86" s="421">
        <v>1.3699999999999999E-3</v>
      </c>
      <c r="V86" s="284">
        <v>1.3699999999999999E-3</v>
      </c>
    </row>
    <row r="87" spans="1:22">
      <c r="G87" s="253"/>
      <c r="N87" s="253"/>
      <c r="O87" s="297"/>
      <c r="P87" s="253"/>
      <c r="Q87" s="253"/>
      <c r="R87" s="253"/>
      <c r="S87" s="297"/>
      <c r="T87" s="423"/>
      <c r="U87" s="423"/>
      <c r="V87" s="253"/>
    </row>
    <row r="88" spans="1:22">
      <c r="A88" s="279"/>
      <c r="B88" s="280"/>
      <c r="C88" s="280"/>
      <c r="D88" s="280"/>
      <c r="E88" s="280"/>
      <c r="F88" s="280"/>
      <c r="G88" s="281">
        <v>1</v>
      </c>
      <c r="H88" s="893" t="str">
        <f>+H12</f>
        <v>Other assets</v>
      </c>
      <c r="I88" s="893"/>
      <c r="J88" s="893"/>
      <c r="K88" s="893"/>
      <c r="L88" s="893"/>
      <c r="M88" s="893"/>
      <c r="N88" s="281">
        <f t="shared" ref="N88:V88" si="67">+SUM(N89:N96)</f>
        <v>929276.85874425271</v>
      </c>
      <c r="O88" s="282">
        <f t="shared" si="67"/>
        <v>935801.94701967982</v>
      </c>
      <c r="P88" s="281">
        <f t="shared" si="67"/>
        <v>938583.00708500657</v>
      </c>
      <c r="Q88" s="281">
        <f t="shared" si="67"/>
        <v>946716.68146544462</v>
      </c>
      <c r="R88" s="281">
        <f t="shared" si="67"/>
        <v>957543.7219245279</v>
      </c>
      <c r="S88" s="282">
        <f t="shared" si="67"/>
        <v>783399.51365846512</v>
      </c>
      <c r="T88" s="420">
        <f t="shared" si="67"/>
        <v>850498.47904787608</v>
      </c>
      <c r="U88" s="420">
        <f t="shared" si="67"/>
        <v>666388.16901079752</v>
      </c>
      <c r="V88" s="281">
        <f t="shared" si="67"/>
        <v>666388.16901079752</v>
      </c>
    </row>
    <row r="89" spans="1:22">
      <c r="A89" s="283" t="s">
        <v>52</v>
      </c>
      <c r="B89" s="283" t="s">
        <v>49</v>
      </c>
      <c r="C89" s="283" t="s">
        <v>61</v>
      </c>
      <c r="D89" s="283" t="s">
        <v>54</v>
      </c>
      <c r="E89" s="283" t="s">
        <v>129</v>
      </c>
      <c r="F89" s="283"/>
      <c r="G89" s="284">
        <v>1</v>
      </c>
      <c r="H89" s="145"/>
      <c r="I89" s="145" t="str">
        <f t="shared" ref="I89:I95" si="68">+RIGHT(D89,LEN(D89)-5)</f>
        <v>Accrued Investment Income</v>
      </c>
      <c r="J89" s="145"/>
      <c r="K89" s="145"/>
      <c r="L89" s="145"/>
      <c r="M89" s="145"/>
      <c r="N89" s="284">
        <v>28100.385360287939</v>
      </c>
      <c r="O89" s="285">
        <v>28959.873971820805</v>
      </c>
      <c r="P89" s="284">
        <v>29247.113280705995</v>
      </c>
      <c r="Q89" s="284">
        <v>28948.724702104395</v>
      </c>
      <c r="R89" s="284">
        <v>30122.080710791946</v>
      </c>
      <c r="S89" s="285">
        <v>31400.103821750588</v>
      </c>
      <c r="T89" s="421">
        <v>33330.144586730981</v>
      </c>
      <c r="U89" s="421">
        <v>33484.591646730987</v>
      </c>
      <c r="V89" s="284">
        <v>33484.591646730987</v>
      </c>
    </row>
    <row r="90" spans="1:22">
      <c r="A90" s="283" t="s">
        <v>52</v>
      </c>
      <c r="B90" s="283" t="s">
        <v>49</v>
      </c>
      <c r="C90" s="283" t="s">
        <v>61</v>
      </c>
      <c r="D90" s="283" t="s">
        <v>55</v>
      </c>
      <c r="E90" s="283" t="s">
        <v>129</v>
      </c>
      <c r="F90" s="283"/>
      <c r="G90" s="284">
        <v>1</v>
      </c>
      <c r="H90" s="145"/>
      <c r="I90" s="145" t="str">
        <f t="shared" si="68"/>
        <v>Deferred Tax Asset</v>
      </c>
      <c r="J90" s="145"/>
      <c r="K90" s="145"/>
      <c r="L90" s="145"/>
      <c r="M90" s="145"/>
      <c r="N90" s="284">
        <v>122664.44920905585</v>
      </c>
      <c r="O90" s="285">
        <v>126929.27895079521</v>
      </c>
      <c r="P90" s="284">
        <v>131806.92759440199</v>
      </c>
      <c r="Q90" s="284">
        <v>128312.61593967093</v>
      </c>
      <c r="R90" s="284">
        <v>177301.64259373362</v>
      </c>
      <c r="S90" s="285">
        <v>130773.20343019997</v>
      </c>
      <c r="T90" s="421">
        <v>181027.62978671893</v>
      </c>
      <c r="U90" s="421">
        <v>181027.62978671893</v>
      </c>
      <c r="V90" s="284">
        <v>181027.62978671893</v>
      </c>
    </row>
    <row r="91" spans="1:22">
      <c r="A91" s="283" t="s">
        <v>52</v>
      </c>
      <c r="B91" s="283" t="s">
        <v>49</v>
      </c>
      <c r="C91" s="283" t="s">
        <v>61</v>
      </c>
      <c r="D91" s="283" t="s">
        <v>56</v>
      </c>
      <c r="E91" s="283" t="s">
        <v>129</v>
      </c>
      <c r="F91" s="283"/>
      <c r="G91" s="284">
        <v>1</v>
      </c>
      <c r="H91" s="145"/>
      <c r="I91" s="145" t="str">
        <f t="shared" si="68"/>
        <v>Intangible Assets</v>
      </c>
      <c r="J91" s="145"/>
      <c r="K91" s="145"/>
      <c r="L91" s="145"/>
      <c r="M91" s="145"/>
      <c r="N91" s="284">
        <v>45275.288659999998</v>
      </c>
      <c r="O91" s="285">
        <v>45275.288659999998</v>
      </c>
      <c r="P91" s="284">
        <v>45275.288659999998</v>
      </c>
      <c r="Q91" s="284">
        <v>45275.288659999998</v>
      </c>
      <c r="R91" s="284">
        <v>45275.288659999998</v>
      </c>
      <c r="S91" s="285">
        <v>45275.288659999998</v>
      </c>
      <c r="T91" s="421">
        <v>45275.288659999998</v>
      </c>
      <c r="U91" s="421">
        <v>45275.288659999998</v>
      </c>
      <c r="V91" s="284">
        <v>45275.288659999998</v>
      </c>
    </row>
    <row r="92" spans="1:22">
      <c r="A92" s="283" t="s">
        <v>52</v>
      </c>
      <c r="B92" s="283" t="s">
        <v>49</v>
      </c>
      <c r="C92" s="283" t="s">
        <v>61</v>
      </c>
      <c r="D92" s="283" t="s">
        <v>57</v>
      </c>
      <c r="E92" s="283" t="s">
        <v>129</v>
      </c>
      <c r="F92" s="283"/>
      <c r="G92" s="284">
        <v>1</v>
      </c>
      <c r="H92" s="145"/>
      <c r="I92" s="145" t="str">
        <f t="shared" si="68"/>
        <v>Intercompany Receivables</v>
      </c>
      <c r="J92" s="145"/>
      <c r="K92" s="145"/>
      <c r="L92" s="145"/>
      <c r="M92" s="145"/>
      <c r="N92" s="284">
        <v>-22.452895211453999</v>
      </c>
      <c r="O92" s="285">
        <v>-9.3726538211719994</v>
      </c>
      <c r="P92" s="284">
        <v>-45.255440926799203</v>
      </c>
      <c r="Q92" s="284">
        <v>-29.157272375912498</v>
      </c>
      <c r="R92" s="284">
        <v>-56.360263895615397</v>
      </c>
      <c r="S92" s="285">
        <v>-9.8908341203439996</v>
      </c>
      <c r="T92" s="421">
        <v>21.786404507388799</v>
      </c>
      <c r="U92" s="421">
        <v>7.3703046168909996</v>
      </c>
      <c r="V92" s="284">
        <v>7.3703046168909996</v>
      </c>
    </row>
    <row r="93" spans="1:22">
      <c r="A93" s="283" t="s">
        <v>52</v>
      </c>
      <c r="B93" s="283" t="s">
        <v>49</v>
      </c>
      <c r="C93" s="283" t="s">
        <v>61</v>
      </c>
      <c r="D93" s="283" t="s">
        <v>58</v>
      </c>
      <c r="E93" s="283" t="s">
        <v>129</v>
      </c>
      <c r="F93" s="283"/>
      <c r="G93" s="284">
        <v>1</v>
      </c>
      <c r="H93" s="145"/>
      <c r="I93" s="145" t="str">
        <f t="shared" si="68"/>
        <v>Operating Lease Assets</v>
      </c>
      <c r="J93" s="145"/>
      <c r="K93" s="145"/>
      <c r="L93" s="145"/>
      <c r="M93" s="145"/>
      <c r="N93" s="284">
        <v>47023.216366379922</v>
      </c>
      <c r="O93" s="285">
        <v>45122.337646231143</v>
      </c>
      <c r="P93" s="284">
        <v>44149.12903975576</v>
      </c>
      <c r="Q93" s="284">
        <v>42985.953947147893</v>
      </c>
      <c r="R93" s="284">
        <v>41899.822901813037</v>
      </c>
      <c r="S93" s="285">
        <v>40935.455567104982</v>
      </c>
      <c r="T93" s="421">
        <v>39697.128082745694</v>
      </c>
      <c r="U93" s="421">
        <v>39697.128082745694</v>
      </c>
      <c r="V93" s="284">
        <v>39697.128082745694</v>
      </c>
    </row>
    <row r="94" spans="1:22">
      <c r="A94" s="283" t="s">
        <v>52</v>
      </c>
      <c r="B94" s="283" t="s">
        <v>49</v>
      </c>
      <c r="C94" s="283" t="s">
        <v>61</v>
      </c>
      <c r="D94" s="283" t="s">
        <v>53</v>
      </c>
      <c r="E94" s="283" t="s">
        <v>129</v>
      </c>
      <c r="F94" s="283"/>
      <c r="G94" s="284">
        <v>1</v>
      </c>
      <c r="H94" s="145"/>
      <c r="I94" s="145" t="str">
        <f t="shared" si="68"/>
        <v>Other Assets All</v>
      </c>
      <c r="J94" s="145"/>
      <c r="K94" s="145"/>
      <c r="L94" s="145"/>
      <c r="M94" s="145"/>
      <c r="N94" s="284">
        <v>403628.76148185227</v>
      </c>
      <c r="O94" s="285">
        <v>407815.95922454714</v>
      </c>
      <c r="P94" s="284">
        <v>387652.19022531167</v>
      </c>
      <c r="Q94" s="284">
        <v>400108.7789673286</v>
      </c>
      <c r="R94" s="284">
        <v>387830.54061855539</v>
      </c>
      <c r="S94" s="285">
        <v>254805.86638818742</v>
      </c>
      <c r="T94" s="421">
        <v>259706.56975626378</v>
      </c>
      <c r="U94" s="421">
        <v>168602.99282213667</v>
      </c>
      <c r="V94" s="284">
        <v>168602.99282213667</v>
      </c>
    </row>
    <row r="95" spans="1:22">
      <c r="A95" s="283" t="s">
        <v>52</v>
      </c>
      <c r="B95" s="283" t="s">
        <v>49</v>
      </c>
      <c r="C95" s="283" t="s">
        <v>61</v>
      </c>
      <c r="D95" s="283" t="s">
        <v>59</v>
      </c>
      <c r="E95" s="283" t="s">
        <v>129</v>
      </c>
      <c r="F95" s="283"/>
      <c r="G95" s="284">
        <v>1</v>
      </c>
      <c r="H95" s="145"/>
      <c r="I95" s="145" t="str">
        <f t="shared" si="68"/>
        <v>Premium and Other Receivables</v>
      </c>
      <c r="J95" s="145"/>
      <c r="K95" s="145"/>
      <c r="L95" s="145"/>
      <c r="M95" s="145"/>
      <c r="N95" s="284">
        <v>282607.21056188818</v>
      </c>
      <c r="O95" s="285">
        <v>281708.58122010669</v>
      </c>
      <c r="P95" s="284">
        <v>300497.61372575792</v>
      </c>
      <c r="Q95" s="284">
        <v>301114.47652156866</v>
      </c>
      <c r="R95" s="284">
        <v>275170.70670352958</v>
      </c>
      <c r="S95" s="285">
        <v>280219.48662534257</v>
      </c>
      <c r="T95" s="421">
        <v>291439.9317709094</v>
      </c>
      <c r="U95" s="421">
        <v>198293.16770784833</v>
      </c>
      <c r="V95" s="284">
        <v>198293.16770784833</v>
      </c>
    </row>
    <row r="96" spans="1:22">
      <c r="G96" s="253"/>
      <c r="N96" s="253"/>
      <c r="O96" s="297"/>
      <c r="P96" s="253"/>
      <c r="Q96" s="253"/>
      <c r="R96" s="253"/>
      <c r="S96" s="297"/>
      <c r="T96" s="423"/>
      <c r="U96" s="423"/>
      <c r="V96" s="253"/>
    </row>
    <row r="97" spans="1:22">
      <c r="A97" s="279"/>
      <c r="B97" s="280"/>
      <c r="C97" s="280"/>
      <c r="D97" s="280"/>
      <c r="E97" s="280"/>
      <c r="F97" s="280"/>
      <c r="G97" s="281">
        <v>1</v>
      </c>
      <c r="H97" s="893" t="str">
        <f>+H13</f>
        <v>Separate account assets</v>
      </c>
      <c r="I97" s="893"/>
      <c r="J97" s="893"/>
      <c r="K97" s="893"/>
      <c r="L97" s="893"/>
      <c r="M97" s="893"/>
      <c r="N97" s="281">
        <f t="shared" ref="N97:V97" si="69">+SUM(N98:N100)</f>
        <v>2209287.3073793552</v>
      </c>
      <c r="O97" s="282">
        <f t="shared" si="69"/>
        <v>2118097.542405447</v>
      </c>
      <c r="P97" s="281">
        <f t="shared" si="69"/>
        <v>2318491.6641881927</v>
      </c>
      <c r="Q97" s="281">
        <f t="shared" si="69"/>
        <v>2313873.8004165171</v>
      </c>
      <c r="R97" s="281">
        <f t="shared" si="69"/>
        <v>2281520.4052366395</v>
      </c>
      <c r="S97" s="282">
        <f t="shared" si="69"/>
        <v>2122558.4490081924</v>
      </c>
      <c r="T97" s="420">
        <f t="shared" si="69"/>
        <v>2156498.4397324394</v>
      </c>
      <c r="U97" s="420">
        <f t="shared" si="69"/>
        <v>2204309.8062399914</v>
      </c>
      <c r="V97" s="281">
        <f t="shared" si="69"/>
        <v>2204309.8062399914</v>
      </c>
    </row>
    <row r="98" spans="1:22">
      <c r="A98" s="283" t="s">
        <v>52</v>
      </c>
      <c r="B98" s="283" t="s">
        <v>49</v>
      </c>
      <c r="C98" s="283" t="s">
        <v>61</v>
      </c>
      <c r="D98" s="283" t="s">
        <v>60</v>
      </c>
      <c r="E98" s="283" t="s">
        <v>129</v>
      </c>
      <c r="F98" s="283"/>
      <c r="G98" s="284">
        <v>1</v>
      </c>
      <c r="H98" s="145"/>
      <c r="I98" s="145" t="str">
        <f>+RIGHT(D98,LEN(D98)-5)</f>
        <v>Separate Account Assets</v>
      </c>
      <c r="J98" s="145"/>
      <c r="K98" s="145"/>
      <c r="L98" s="145"/>
      <c r="M98" s="145"/>
      <c r="N98" s="284">
        <v>2209287.3073793552</v>
      </c>
      <c r="O98" s="285">
        <v>2118097.542405447</v>
      </c>
      <c r="P98" s="284">
        <v>2318491.6641881927</v>
      </c>
      <c r="Q98" s="284">
        <v>2313873.8004165171</v>
      </c>
      <c r="R98" s="284">
        <v>2281520.4052366395</v>
      </c>
      <c r="S98" s="285">
        <v>2122558.4490081924</v>
      </c>
      <c r="T98" s="421">
        <v>2156498.4397324394</v>
      </c>
      <c r="U98" s="421">
        <v>2204309.8062399914</v>
      </c>
      <c r="V98" s="284">
        <v>2204309.8062399914</v>
      </c>
    </row>
    <row r="99" spans="1:22">
      <c r="G99" s="253"/>
      <c r="N99" s="253"/>
      <c r="O99" s="297"/>
      <c r="P99" s="253"/>
      <c r="Q99" s="253"/>
      <c r="R99" s="253"/>
      <c r="S99" s="297"/>
      <c r="T99" s="423"/>
      <c r="U99" s="423"/>
      <c r="V99" s="253"/>
    </row>
    <row r="100" spans="1:22">
      <c r="G100" s="253"/>
      <c r="N100" s="253"/>
      <c r="O100" s="297"/>
      <c r="P100" s="253"/>
      <c r="Q100" s="253"/>
      <c r="R100" s="253"/>
      <c r="S100" s="297"/>
      <c r="T100" s="423"/>
      <c r="U100" s="423"/>
      <c r="V100" s="253"/>
    </row>
    <row r="101" spans="1:22">
      <c r="A101" s="279"/>
      <c r="B101" s="280"/>
      <c r="C101" s="280"/>
      <c r="D101" s="280"/>
      <c r="E101" s="280"/>
      <c r="F101" s="280"/>
      <c r="G101" s="281">
        <v>-1</v>
      </c>
      <c r="H101" s="893" t="str">
        <f>+J24</f>
        <v>Total liabilities</v>
      </c>
      <c r="I101" s="893"/>
      <c r="J101" s="893"/>
      <c r="K101" s="893"/>
      <c r="L101" s="893"/>
      <c r="M101" s="893"/>
      <c r="N101" s="281">
        <f t="shared" ref="N101:V101" si="70">+N24*$G101</f>
        <v>-12322980.617492061</v>
      </c>
      <c r="O101" s="282">
        <f t="shared" si="70"/>
        <v>-12332601.09324437</v>
      </c>
      <c r="P101" s="281">
        <f t="shared" si="70"/>
        <v>-12522317.804423165</v>
      </c>
      <c r="Q101" s="281">
        <f t="shared" si="70"/>
        <v>-12551867.542958196</v>
      </c>
      <c r="R101" s="281">
        <f t="shared" si="70"/>
        <v>-12566434.68592697</v>
      </c>
      <c r="S101" s="282">
        <f t="shared" si="70"/>
        <v>-12157551.648982462</v>
      </c>
      <c r="T101" s="420">
        <f t="shared" si="70"/>
        <v>-12258985.842440659</v>
      </c>
      <c r="U101" s="420">
        <f t="shared" si="70"/>
        <v>0</v>
      </c>
      <c r="V101" s="281">
        <f t="shared" si="70"/>
        <v>0</v>
      </c>
    </row>
    <row r="102" spans="1:22">
      <c r="A102" s="283" t="s">
        <v>52</v>
      </c>
      <c r="B102" s="283" t="s">
        <v>49</v>
      </c>
      <c r="C102" s="283" t="s">
        <v>61</v>
      </c>
      <c r="D102" s="283" t="s">
        <v>64</v>
      </c>
      <c r="E102" s="283" t="s">
        <v>129</v>
      </c>
      <c r="F102" s="283"/>
      <c r="G102" s="284">
        <v>-1</v>
      </c>
      <c r="H102" s="894"/>
      <c r="I102" s="145" t="str">
        <f>+RIGHT(D102,LEN(D102)-5)</f>
        <v>Total Liabilities</v>
      </c>
      <c r="J102" s="145"/>
      <c r="K102" s="145"/>
      <c r="L102" s="145"/>
      <c r="M102" s="145"/>
      <c r="N102" s="284">
        <v>-12322980.617492061</v>
      </c>
      <c r="O102" s="285">
        <v>-12332601.093244372</v>
      </c>
      <c r="P102" s="284">
        <v>-12522317.804423165</v>
      </c>
      <c r="Q102" s="284">
        <v>-12551867.542958191</v>
      </c>
      <c r="R102" s="284">
        <v>-12566434.68592697</v>
      </c>
      <c r="S102" s="285">
        <v>-12157551.648982462</v>
      </c>
      <c r="T102" s="421">
        <v>-12258985.842440661</v>
      </c>
      <c r="U102" s="421">
        <v>-4786729.7539459569</v>
      </c>
      <c r="V102" s="284">
        <v>-4786729.7539459569</v>
      </c>
    </row>
    <row r="103" spans="1:22" ht="14.4" thickBot="1">
      <c r="G103" s="253"/>
      <c r="I103" s="895" t="s">
        <v>77</v>
      </c>
      <c r="J103" s="895"/>
      <c r="K103" s="895"/>
      <c r="L103" s="895"/>
      <c r="M103" s="895"/>
      <c r="N103" s="288">
        <f t="shared" ref="N103:V103" si="71">+N102-N101</f>
        <v>0</v>
      </c>
      <c r="O103" s="289">
        <f t="shared" si="71"/>
        <v>0</v>
      </c>
      <c r="P103" s="288">
        <f t="shared" si="71"/>
        <v>0</v>
      </c>
      <c r="Q103" s="288">
        <f t="shared" si="71"/>
        <v>0</v>
      </c>
      <c r="R103" s="288">
        <f t="shared" si="71"/>
        <v>0</v>
      </c>
      <c r="S103" s="289">
        <f t="shared" si="71"/>
        <v>0</v>
      </c>
      <c r="T103" s="422">
        <f t="shared" si="71"/>
        <v>0</v>
      </c>
      <c r="U103" s="422">
        <f t="shared" si="71"/>
        <v>-4786729.7539459569</v>
      </c>
      <c r="V103" s="288">
        <f t="shared" si="71"/>
        <v>-4786729.7539459569</v>
      </c>
    </row>
    <row r="104" spans="1:22" ht="14.4" thickTop="1">
      <c r="G104" s="253"/>
      <c r="I104" s="896"/>
      <c r="J104" s="896"/>
      <c r="K104" s="896"/>
      <c r="L104" s="896"/>
      <c r="M104" s="896"/>
      <c r="N104" s="389"/>
      <c r="O104" s="330"/>
      <c r="P104" s="389"/>
      <c r="Q104" s="389"/>
      <c r="R104" s="389"/>
      <c r="S104" s="330"/>
      <c r="T104" s="424"/>
      <c r="U104" s="424"/>
      <c r="V104" s="389"/>
    </row>
    <row r="105" spans="1:22">
      <c r="A105" s="279"/>
      <c r="B105" s="280"/>
      <c r="C105" s="280"/>
      <c r="D105" s="280"/>
      <c r="E105" s="280"/>
      <c r="F105" s="280"/>
      <c r="G105" s="281">
        <v>-1</v>
      </c>
      <c r="H105" s="893" t="str">
        <f>+H17</f>
        <v>Future policy benefits</v>
      </c>
      <c r="I105" s="893"/>
      <c r="J105" s="893"/>
      <c r="K105" s="893"/>
      <c r="L105" s="893"/>
      <c r="M105" s="893"/>
      <c r="N105" s="281">
        <f t="shared" ref="N105:V105" si="72">+SUM(N106:N107)</f>
        <v>-6503064.3210746171</v>
      </c>
      <c r="O105" s="282">
        <f t="shared" si="72"/>
        <v>-6637937.1051776307</v>
      </c>
      <c r="P105" s="281">
        <f t="shared" si="72"/>
        <v>-6719043.6495479327</v>
      </c>
      <c r="Q105" s="281">
        <f t="shared" si="72"/>
        <v>-6816777.547639573</v>
      </c>
      <c r="R105" s="281">
        <f t="shared" si="72"/>
        <v>-6818178.9303770019</v>
      </c>
      <c r="S105" s="282">
        <f t="shared" si="72"/>
        <v>-6728919.9653835995</v>
      </c>
      <c r="T105" s="420">
        <f t="shared" si="72"/>
        <v>-6803364.1076408075</v>
      </c>
      <c r="U105" s="420">
        <f t="shared" si="72"/>
        <v>-5343.4647148458098</v>
      </c>
      <c r="V105" s="281">
        <f t="shared" si="72"/>
        <v>-5343.4647148458098</v>
      </c>
    </row>
    <row r="106" spans="1:22">
      <c r="A106" s="283" t="s">
        <v>52</v>
      </c>
      <c r="B106" s="283" t="s">
        <v>49</v>
      </c>
      <c r="C106" s="283" t="s">
        <v>61</v>
      </c>
      <c r="D106" s="283" t="s">
        <v>65</v>
      </c>
      <c r="E106" s="283" t="s">
        <v>129</v>
      </c>
      <c r="F106" s="283"/>
      <c r="G106" s="284">
        <v>-1</v>
      </c>
      <c r="H106" s="145"/>
      <c r="I106" s="145" t="str">
        <f>+RIGHT(D106,LEN(D106)-5)</f>
        <v>Future Policy Benefits</v>
      </c>
      <c r="J106" s="145"/>
      <c r="K106" s="145"/>
      <c r="L106" s="145"/>
      <c r="M106" s="145"/>
      <c r="N106" s="284">
        <v>-6503064.3210746171</v>
      </c>
      <c r="O106" s="285">
        <v>-6637937.1051776307</v>
      </c>
      <c r="P106" s="284">
        <v>-6719043.6495479327</v>
      </c>
      <c r="Q106" s="284">
        <v>-6816777.547639573</v>
      </c>
      <c r="R106" s="284">
        <v>-6818178.9303770019</v>
      </c>
      <c r="S106" s="285">
        <v>-6728919.9653835995</v>
      </c>
      <c r="T106" s="421">
        <v>-6803364.1076408075</v>
      </c>
      <c r="U106" s="421">
        <v>-5343.4647148458098</v>
      </c>
      <c r="V106" s="284">
        <v>-5343.4647148458098</v>
      </c>
    </row>
    <row r="107" spans="1:22">
      <c r="G107" s="253"/>
      <c r="N107" s="253"/>
      <c r="O107" s="297"/>
      <c r="P107" s="253"/>
      <c r="Q107" s="253"/>
      <c r="R107" s="253"/>
      <c r="S107" s="297"/>
      <c r="T107" s="423"/>
      <c r="U107" s="423"/>
      <c r="V107" s="253"/>
    </row>
    <row r="108" spans="1:22">
      <c r="A108" s="279"/>
      <c r="B108" s="280"/>
      <c r="C108" s="280"/>
      <c r="D108" s="280"/>
      <c r="E108" s="280"/>
      <c r="F108" s="280"/>
      <c r="G108" s="281">
        <v>-1</v>
      </c>
      <c r="H108" s="893" t="str">
        <f>+H18</f>
        <v>Other policy liabilities</v>
      </c>
      <c r="I108" s="893"/>
      <c r="J108" s="893"/>
      <c r="K108" s="893"/>
      <c r="L108" s="893"/>
      <c r="M108" s="893"/>
      <c r="N108" s="281">
        <f t="shared" ref="N108:V108" si="73">+SUM(N109:N112)</f>
        <v>-906279.50161732256</v>
      </c>
      <c r="O108" s="282">
        <f t="shared" si="73"/>
        <v>-907038.2200498184</v>
      </c>
      <c r="P108" s="281">
        <f t="shared" si="73"/>
        <v>-906558.32731758326</v>
      </c>
      <c r="Q108" s="281">
        <f t="shared" si="73"/>
        <v>-862242.22332125681</v>
      </c>
      <c r="R108" s="281">
        <f t="shared" si="73"/>
        <v>-867304.61570577149</v>
      </c>
      <c r="S108" s="282">
        <f t="shared" si="73"/>
        <v>-848328.33466948359</v>
      </c>
      <c r="T108" s="420">
        <f t="shared" si="73"/>
        <v>-849967.57661706582</v>
      </c>
      <c r="U108" s="420">
        <f t="shared" si="73"/>
        <v>-349404.37863813614</v>
      </c>
      <c r="V108" s="281">
        <f t="shared" si="73"/>
        <v>-349404.37863813614</v>
      </c>
    </row>
    <row r="109" spans="1:22">
      <c r="A109" s="283" t="s">
        <v>52</v>
      </c>
      <c r="B109" s="283" t="s">
        <v>49</v>
      </c>
      <c r="C109" s="283" t="s">
        <v>61</v>
      </c>
      <c r="D109" s="283" t="s">
        <v>66</v>
      </c>
      <c r="E109" s="283" t="s">
        <v>129</v>
      </c>
      <c r="F109" s="283"/>
      <c r="G109" s="284">
        <v>-1</v>
      </c>
      <c r="H109" s="145"/>
      <c r="I109" s="145" t="str">
        <f>+RIGHT(D109,LEN(D109)-5)</f>
        <v>Other Policy Holder Funds</v>
      </c>
      <c r="J109" s="145"/>
      <c r="K109" s="145"/>
      <c r="L109" s="145"/>
      <c r="M109" s="145"/>
      <c r="N109" s="284">
        <v>-402322.8728678737</v>
      </c>
      <c r="O109" s="285">
        <v>-394830.28069863853</v>
      </c>
      <c r="P109" s="284">
        <v>-382088.81438233441</v>
      </c>
      <c r="Q109" s="284">
        <v>-368232.31525335769</v>
      </c>
      <c r="R109" s="284">
        <v>-356427.41728619911</v>
      </c>
      <c r="S109" s="285">
        <v>-342427.29783993022</v>
      </c>
      <c r="T109" s="421">
        <v>-344436.57252230402</v>
      </c>
      <c r="U109" s="421">
        <v>-344156.77663813613</v>
      </c>
      <c r="V109" s="284">
        <v>-344156.77663813613</v>
      </c>
    </row>
    <row r="110" spans="1:22">
      <c r="A110" s="283" t="s">
        <v>52</v>
      </c>
      <c r="B110" s="283" t="s">
        <v>49</v>
      </c>
      <c r="C110" s="283" t="s">
        <v>61</v>
      </c>
      <c r="D110" s="283" t="s">
        <v>67</v>
      </c>
      <c r="E110" s="283" t="s">
        <v>129</v>
      </c>
      <c r="F110" s="283"/>
      <c r="G110" s="284">
        <v>-1</v>
      </c>
      <c r="H110" s="145"/>
      <c r="I110" s="145" t="str">
        <f>+RIGHT(D110,LEN(D110)-5)</f>
        <v>Policy &amp; Contract Claims</v>
      </c>
      <c r="J110" s="145"/>
      <c r="K110" s="145"/>
      <c r="L110" s="145"/>
      <c r="M110" s="145"/>
      <c r="N110" s="284">
        <v>-488350.13255323039</v>
      </c>
      <c r="O110" s="285">
        <v>-494734.39039412385</v>
      </c>
      <c r="P110" s="284">
        <v>-507552.61043687194</v>
      </c>
      <c r="Q110" s="284">
        <v>-477785.00447215041</v>
      </c>
      <c r="R110" s="284">
        <v>-495355.92414543097</v>
      </c>
      <c r="S110" s="285">
        <v>-488886.36959254416</v>
      </c>
      <c r="T110" s="421">
        <v>-489108.240380181</v>
      </c>
      <c r="U110" s="421">
        <v>-5245.31</v>
      </c>
      <c r="V110" s="284">
        <v>-5245.31</v>
      </c>
    </row>
    <row r="111" spans="1:22">
      <c r="A111" s="283" t="s">
        <v>52</v>
      </c>
      <c r="B111" s="283" t="s">
        <v>49</v>
      </c>
      <c r="C111" s="283" t="s">
        <v>61</v>
      </c>
      <c r="D111" s="283" t="s">
        <v>68</v>
      </c>
      <c r="E111" s="283" t="s">
        <v>129</v>
      </c>
      <c r="F111" s="283"/>
      <c r="G111" s="284">
        <v>-1</v>
      </c>
      <c r="H111" s="145"/>
      <c r="I111" s="145" t="str">
        <f>+RIGHT(D111,LEN(D111)-5)</f>
        <v>Unearned Advance Premiums</v>
      </c>
      <c r="J111" s="145"/>
      <c r="K111" s="145"/>
      <c r="L111" s="145"/>
      <c r="M111" s="145"/>
      <c r="N111" s="284">
        <v>-15606.49619621837</v>
      </c>
      <c r="O111" s="285">
        <v>-17473.548957055998</v>
      </c>
      <c r="P111" s="284">
        <v>-16916.902498376938</v>
      </c>
      <c r="Q111" s="284">
        <v>-16224.90359574869</v>
      </c>
      <c r="R111" s="284">
        <v>-15521.274274141429</v>
      </c>
      <c r="S111" s="285">
        <v>-17014.667237009118</v>
      </c>
      <c r="T111" s="421">
        <v>-16422.763714580771</v>
      </c>
      <c r="U111" s="421">
        <v>-2.2919999999999998</v>
      </c>
      <c r="V111" s="284">
        <v>-2.2919999999999998</v>
      </c>
    </row>
    <row r="112" spans="1:22">
      <c r="G112" s="253"/>
      <c r="N112" s="253"/>
      <c r="O112" s="297"/>
      <c r="P112" s="253"/>
      <c r="Q112" s="253"/>
      <c r="R112" s="253"/>
      <c r="S112" s="297"/>
      <c r="T112" s="423"/>
      <c r="U112" s="423"/>
      <c r="V112" s="253"/>
    </row>
    <row r="113" spans="1:22">
      <c r="A113" s="279"/>
      <c r="B113" s="280"/>
      <c r="C113" s="280"/>
      <c r="D113" s="280"/>
      <c r="E113" s="280"/>
      <c r="F113" s="280"/>
      <c r="G113" s="281">
        <v>-1</v>
      </c>
      <c r="H113" s="893" t="str">
        <f>+H19</f>
        <v>Other liabilities</v>
      </c>
      <c r="I113" s="893"/>
      <c r="J113" s="893"/>
      <c r="K113" s="893"/>
      <c r="L113" s="893"/>
      <c r="M113" s="893"/>
      <c r="N113" s="281">
        <f t="shared" ref="N113:V113" si="74">+SUM(N114:N118)</f>
        <v>-720248.24533076561</v>
      </c>
      <c r="O113" s="282">
        <f t="shared" si="74"/>
        <v>-692224.41222147667</v>
      </c>
      <c r="P113" s="281">
        <f t="shared" si="74"/>
        <v>-641378.2796794551</v>
      </c>
      <c r="Q113" s="281">
        <f t="shared" si="74"/>
        <v>-618061.01958084572</v>
      </c>
      <c r="R113" s="281">
        <f t="shared" si="74"/>
        <v>-744120.86429755809</v>
      </c>
      <c r="S113" s="282">
        <f t="shared" si="74"/>
        <v>-646723.54231118469</v>
      </c>
      <c r="T113" s="420">
        <f t="shared" si="74"/>
        <v>-691569.5035403478</v>
      </c>
      <c r="U113" s="420">
        <f t="shared" si="74"/>
        <v>-558664.5674429842</v>
      </c>
      <c r="V113" s="281">
        <f t="shared" si="74"/>
        <v>-558664.5674429842</v>
      </c>
    </row>
    <row r="114" spans="1:22">
      <c r="A114" s="283" t="s">
        <v>52</v>
      </c>
      <c r="B114" s="283" t="s">
        <v>49</v>
      </c>
      <c r="C114" s="283" t="s">
        <v>61</v>
      </c>
      <c r="D114" s="283" t="s">
        <v>70</v>
      </c>
      <c r="E114" s="283" t="s">
        <v>129</v>
      </c>
      <c r="F114" s="283"/>
      <c r="G114" s="284">
        <v>-1</v>
      </c>
      <c r="H114" s="145"/>
      <c r="I114" s="145" t="str">
        <f>+RIGHT(D114,LEN(D114)-5)</f>
        <v>Operating Lease Liabilities</v>
      </c>
      <c r="J114" s="145"/>
      <c r="K114" s="145"/>
      <c r="L114" s="145"/>
      <c r="M114" s="145"/>
      <c r="N114" s="284">
        <v>-55477.838820189281</v>
      </c>
      <c r="O114" s="285">
        <v>-52907.080449013003</v>
      </c>
      <c r="P114" s="284">
        <v>-52322.84361148085</v>
      </c>
      <c r="Q114" s="284">
        <v>-50891.813059037624</v>
      </c>
      <c r="R114" s="284">
        <v>-49564.713607964317</v>
      </c>
      <c r="S114" s="285">
        <v>-48369.120382371133</v>
      </c>
      <c r="T114" s="421">
        <v>-46852.385783052596</v>
      </c>
      <c r="U114" s="421">
        <v>-46852.385783052596</v>
      </c>
      <c r="V114" s="284">
        <v>-46852.385783052596</v>
      </c>
    </row>
    <row r="115" spans="1:22">
      <c r="A115" s="283" t="s">
        <v>52</v>
      </c>
      <c r="B115" s="283" t="s">
        <v>49</v>
      </c>
      <c r="C115" s="283" t="s">
        <v>61</v>
      </c>
      <c r="D115" s="283" t="s">
        <v>71</v>
      </c>
      <c r="E115" s="283" t="s">
        <v>129</v>
      </c>
      <c r="F115" s="283"/>
      <c r="G115" s="284">
        <v>-1</v>
      </c>
      <c r="H115" s="145"/>
      <c r="I115" s="145" t="str">
        <f>+RIGHT(D115,LEN(D115)-5)</f>
        <v>Other Liabilities</v>
      </c>
      <c r="J115" s="145"/>
      <c r="K115" s="145"/>
      <c r="L115" s="145"/>
      <c r="M115" s="145"/>
      <c r="N115" s="284">
        <v>-549159.96742279117</v>
      </c>
      <c r="O115" s="285">
        <v>-523611.13890129473</v>
      </c>
      <c r="P115" s="284">
        <v>-523518.48770071514</v>
      </c>
      <c r="Q115" s="284">
        <v>-515051.46165681601</v>
      </c>
      <c r="R115" s="284">
        <v>-546596.15927899943</v>
      </c>
      <c r="S115" s="285">
        <v>-531544.60737416346</v>
      </c>
      <c r="T115" s="421">
        <v>-619809.62586451985</v>
      </c>
      <c r="U115" s="421">
        <v>-486904.68976010784</v>
      </c>
      <c r="V115" s="284">
        <v>-486904.68976010784</v>
      </c>
    </row>
    <row r="116" spans="1:22">
      <c r="A116" s="283" t="s">
        <v>52</v>
      </c>
      <c r="B116" s="283" t="s">
        <v>49</v>
      </c>
      <c r="C116" s="283" t="s">
        <v>61</v>
      </c>
      <c r="D116" s="283" t="s">
        <v>72</v>
      </c>
      <c r="E116" s="283" t="s">
        <v>129</v>
      </c>
      <c r="F116" s="283"/>
      <c r="G116" s="284">
        <v>-1</v>
      </c>
      <c r="H116" s="145"/>
      <c r="I116" s="145" t="str">
        <f>+RIGHT(D116,LEN(D116)-5)</f>
        <v>Payables to Affiliates</v>
      </c>
      <c r="J116" s="145"/>
      <c r="K116" s="145"/>
      <c r="L116" s="145"/>
      <c r="M116" s="145"/>
      <c r="N116" s="284">
        <v>0</v>
      </c>
      <c r="O116" s="285">
        <v>0</v>
      </c>
      <c r="P116" s="284">
        <v>0</v>
      </c>
      <c r="Q116" s="284">
        <v>0</v>
      </c>
      <c r="R116" s="284">
        <v>0</v>
      </c>
      <c r="S116" s="285">
        <v>0</v>
      </c>
      <c r="T116" s="421">
        <v>0</v>
      </c>
      <c r="U116" s="421">
        <v>0</v>
      </c>
      <c r="V116" s="284">
        <v>0</v>
      </c>
    </row>
    <row r="117" spans="1:22">
      <c r="A117" s="283" t="s">
        <v>52</v>
      </c>
      <c r="B117" s="283" t="s">
        <v>49</v>
      </c>
      <c r="C117" s="283" t="s">
        <v>61</v>
      </c>
      <c r="D117" s="283" t="s">
        <v>69</v>
      </c>
      <c r="E117" s="283" t="s">
        <v>129</v>
      </c>
      <c r="F117" s="283"/>
      <c r="G117" s="284">
        <v>-1</v>
      </c>
      <c r="H117" s="145"/>
      <c r="I117" s="145" t="str">
        <f>+RIGHT(D117,LEN(D117)-5)</f>
        <v>Income Tax Liability</v>
      </c>
      <c r="J117" s="145"/>
      <c r="K117" s="145"/>
      <c r="L117" s="145"/>
      <c r="M117" s="145"/>
      <c r="N117" s="284">
        <v>-115610.43908778521</v>
      </c>
      <c r="O117" s="285">
        <v>-115706.19287116901</v>
      </c>
      <c r="P117" s="284">
        <v>-65536.948367259072</v>
      </c>
      <c r="Q117" s="284">
        <v>-52117.744864992092</v>
      </c>
      <c r="R117" s="284">
        <v>-147959.99141059426</v>
      </c>
      <c r="S117" s="285">
        <v>-66809.814554650133</v>
      </c>
      <c r="T117" s="421">
        <v>-24907.491892775332</v>
      </c>
      <c r="U117" s="421">
        <v>-24907.491899823788</v>
      </c>
      <c r="V117" s="284">
        <v>-24907.491899823788</v>
      </c>
    </row>
    <row r="118" spans="1:22">
      <c r="G118" s="253"/>
      <c r="N118" s="253"/>
      <c r="O118" s="297"/>
      <c r="P118" s="253"/>
      <c r="Q118" s="253"/>
      <c r="R118" s="253"/>
      <c r="S118" s="297"/>
      <c r="T118" s="423"/>
      <c r="U118" s="423"/>
      <c r="V118" s="253"/>
    </row>
    <row r="119" spans="1:22">
      <c r="A119" s="279"/>
      <c r="B119" s="280"/>
      <c r="C119" s="280"/>
      <c r="D119" s="280"/>
      <c r="E119" s="280"/>
      <c r="F119" s="280"/>
      <c r="G119" s="281">
        <v>-1</v>
      </c>
      <c r="H119" s="893" t="str">
        <f>+H20</f>
        <v>Debt obligations</v>
      </c>
      <c r="I119" s="893"/>
      <c r="J119" s="893"/>
      <c r="K119" s="893"/>
      <c r="L119" s="893"/>
      <c r="M119" s="893"/>
      <c r="N119" s="281">
        <f t="shared" ref="N119:V119" si="75">+SUM(N120:N121)</f>
        <v>-594511.7095</v>
      </c>
      <c r="O119" s="282">
        <f t="shared" si="75"/>
        <v>-594712.50060999999</v>
      </c>
      <c r="P119" s="281">
        <f t="shared" si="75"/>
        <v>-594913.29173000006</v>
      </c>
      <c r="Q119" s="281">
        <f t="shared" si="75"/>
        <v>-595114.08284999989</v>
      </c>
      <c r="R119" s="281">
        <f t="shared" si="75"/>
        <v>-595314.87396</v>
      </c>
      <c r="S119" s="282">
        <f t="shared" si="75"/>
        <v>-595515.66508000006</v>
      </c>
      <c r="T119" s="420">
        <f t="shared" si="75"/>
        <v>-595716.45618999994</v>
      </c>
      <c r="U119" s="420">
        <f t="shared" si="75"/>
        <v>-595716.45618999994</v>
      </c>
      <c r="V119" s="281">
        <f t="shared" si="75"/>
        <v>-595716.45618999994</v>
      </c>
    </row>
    <row r="120" spans="1:22">
      <c r="A120" s="283" t="s">
        <v>52</v>
      </c>
      <c r="B120" s="283" t="s">
        <v>49</v>
      </c>
      <c r="C120" s="283" t="s">
        <v>61</v>
      </c>
      <c r="D120" s="283" t="s">
        <v>74</v>
      </c>
      <c r="E120" s="283" t="s">
        <v>129</v>
      </c>
      <c r="F120" s="283"/>
      <c r="G120" s="284">
        <v>-1</v>
      </c>
      <c r="H120" s="145"/>
      <c r="I120" s="145" t="str">
        <f>+RIGHT(D120,LEN(D120)-5)</f>
        <v>Notes Payable</v>
      </c>
      <c r="J120" s="145"/>
      <c r="K120" s="145"/>
      <c r="L120" s="145"/>
      <c r="M120" s="145"/>
      <c r="N120" s="284">
        <v>-594511.7095</v>
      </c>
      <c r="O120" s="285">
        <v>-594712.50060999999</v>
      </c>
      <c r="P120" s="284">
        <v>-594913.29173000006</v>
      </c>
      <c r="Q120" s="284">
        <v>-595114.08284999989</v>
      </c>
      <c r="R120" s="284">
        <v>-595314.87396</v>
      </c>
      <c r="S120" s="285">
        <v>-595515.66508000006</v>
      </c>
      <c r="T120" s="421">
        <v>-595716.45618999994</v>
      </c>
      <c r="U120" s="421">
        <v>-595716.45618999994</v>
      </c>
      <c r="V120" s="284">
        <v>-595716.45618999994</v>
      </c>
    </row>
    <row r="121" spans="1:22">
      <c r="G121" s="253"/>
      <c r="N121" s="253"/>
      <c r="O121" s="297"/>
      <c r="P121" s="253"/>
      <c r="Q121" s="253"/>
      <c r="R121" s="253"/>
      <c r="S121" s="297"/>
      <c r="T121" s="423"/>
      <c r="U121" s="423"/>
      <c r="V121" s="253"/>
    </row>
    <row r="122" spans="1:22">
      <c r="A122" s="279"/>
      <c r="B122" s="280"/>
      <c r="C122" s="280"/>
      <c r="D122" s="280"/>
      <c r="E122" s="280"/>
      <c r="F122" s="280"/>
      <c r="G122" s="281">
        <v>-1</v>
      </c>
      <c r="H122" s="893" t="str">
        <f>+H21</f>
        <v>Surplus note</v>
      </c>
      <c r="I122" s="893"/>
      <c r="J122" s="893"/>
      <c r="K122" s="893"/>
      <c r="L122" s="893"/>
      <c r="M122" s="893"/>
      <c r="N122" s="281">
        <f t="shared" ref="N122:V122" si="76">+SUM(N123:N124)</f>
        <v>-1303555.82959</v>
      </c>
      <c r="O122" s="282">
        <f t="shared" si="76"/>
        <v>-1285031.70478</v>
      </c>
      <c r="P122" s="281">
        <f t="shared" si="76"/>
        <v>-1258507.57996</v>
      </c>
      <c r="Q122" s="281">
        <f t="shared" si="76"/>
        <v>-1241263.4551500001</v>
      </c>
      <c r="R122" s="281">
        <f t="shared" si="76"/>
        <v>-1175119.3303499999</v>
      </c>
      <c r="S122" s="282">
        <f t="shared" si="76"/>
        <v>-1130485.2055299999</v>
      </c>
      <c r="T122" s="420">
        <f t="shared" si="76"/>
        <v>-1073291.08072</v>
      </c>
      <c r="U122" s="420">
        <f t="shared" si="76"/>
        <v>-1073291.08072</v>
      </c>
      <c r="V122" s="281">
        <f t="shared" si="76"/>
        <v>-1073291.08072</v>
      </c>
    </row>
    <row r="123" spans="1:22">
      <c r="A123" s="283" t="s">
        <v>52</v>
      </c>
      <c r="B123" s="283" t="s">
        <v>49</v>
      </c>
      <c r="C123" s="283" t="s">
        <v>61</v>
      </c>
      <c r="D123" s="283" t="s">
        <v>75</v>
      </c>
      <c r="E123" s="283" t="s">
        <v>129</v>
      </c>
      <c r="F123" s="283"/>
      <c r="G123" s="284">
        <v>-1</v>
      </c>
      <c r="H123" s="145"/>
      <c r="I123" s="145" t="str">
        <f>+RIGHT(D123,LEN(D123)-5)</f>
        <v>Non-Recourse Funding Obligation</v>
      </c>
      <c r="J123" s="145"/>
      <c r="K123" s="145"/>
      <c r="L123" s="145"/>
      <c r="M123" s="145"/>
      <c r="N123" s="284">
        <v>-1303555.82959</v>
      </c>
      <c r="O123" s="285">
        <v>-1285031.70478</v>
      </c>
      <c r="P123" s="284">
        <v>-1258507.57996</v>
      </c>
      <c r="Q123" s="284">
        <v>-1241263.4551500001</v>
      </c>
      <c r="R123" s="284">
        <v>-1175119.3303499999</v>
      </c>
      <c r="S123" s="285">
        <v>-1130485.2055299999</v>
      </c>
      <c r="T123" s="421">
        <v>-1073291.08072</v>
      </c>
      <c r="U123" s="421">
        <v>-1073291.08072</v>
      </c>
      <c r="V123" s="284">
        <v>-1073291.08072</v>
      </c>
    </row>
    <row r="124" spans="1:22">
      <c r="G124" s="253"/>
      <c r="N124" s="253"/>
      <c r="O124" s="297"/>
      <c r="P124" s="253"/>
      <c r="Q124" s="253"/>
      <c r="R124" s="253"/>
      <c r="S124" s="297"/>
      <c r="T124" s="423"/>
      <c r="U124" s="423"/>
      <c r="V124" s="253"/>
    </row>
    <row r="125" spans="1:22">
      <c r="A125" s="279"/>
      <c r="B125" s="280"/>
      <c r="C125" s="280"/>
      <c r="D125" s="280"/>
      <c r="E125" s="280"/>
      <c r="F125" s="280"/>
      <c r="G125" s="281">
        <v>-1</v>
      </c>
      <c r="H125" s="893" t="str">
        <f>+H22</f>
        <v>Payable under securities lending</v>
      </c>
      <c r="I125" s="893"/>
      <c r="J125" s="893"/>
      <c r="K125" s="893"/>
      <c r="L125" s="893"/>
      <c r="M125" s="893"/>
      <c r="N125" s="281">
        <f t="shared" ref="N125:V125" si="77">+SUM(N126:N127)</f>
        <v>-86033.703000000009</v>
      </c>
      <c r="O125" s="282">
        <f t="shared" si="77"/>
        <v>-97559.607999999993</v>
      </c>
      <c r="P125" s="281">
        <f t="shared" si="77"/>
        <v>-83425.012000000002</v>
      </c>
      <c r="Q125" s="281">
        <f t="shared" si="77"/>
        <v>-104535.414</v>
      </c>
      <c r="R125" s="281">
        <f t="shared" si="77"/>
        <v>-84875.665999999997</v>
      </c>
      <c r="S125" s="282">
        <f t="shared" si="77"/>
        <v>-85020.487000000008</v>
      </c>
      <c r="T125" s="420">
        <f t="shared" si="77"/>
        <v>-88578.678000000014</v>
      </c>
      <c r="U125" s="420">
        <f t="shared" si="77"/>
        <v>0</v>
      </c>
      <c r="V125" s="281">
        <f t="shared" si="77"/>
        <v>0</v>
      </c>
    </row>
    <row r="126" spans="1:22">
      <c r="A126" s="283" t="s">
        <v>52</v>
      </c>
      <c r="B126" s="283" t="s">
        <v>49</v>
      </c>
      <c r="C126" s="283" t="s">
        <v>61</v>
      </c>
      <c r="D126" s="283" t="s">
        <v>73</v>
      </c>
      <c r="E126" s="283" t="s">
        <v>129</v>
      </c>
      <c r="F126" s="283"/>
      <c r="G126" s="284">
        <v>-1</v>
      </c>
      <c r="H126" s="145"/>
      <c r="I126" s="145" t="str">
        <f>+RIGHT(D126,LEN(D126)-5)</f>
        <v>Payables Under Securities Lending</v>
      </c>
      <c r="J126" s="145"/>
      <c r="K126" s="145"/>
      <c r="L126" s="145"/>
      <c r="M126" s="145"/>
      <c r="N126" s="284">
        <v>-86033.703000000009</v>
      </c>
      <c r="O126" s="285">
        <v>-97559.607999999993</v>
      </c>
      <c r="P126" s="284">
        <v>-83425.012000000002</v>
      </c>
      <c r="Q126" s="284">
        <v>-104535.414</v>
      </c>
      <c r="R126" s="284">
        <v>-84875.665999999997</v>
      </c>
      <c r="S126" s="285">
        <v>-85020.487000000008</v>
      </c>
      <c r="T126" s="421">
        <v>-88578.678000000014</v>
      </c>
      <c r="U126" s="421">
        <v>0</v>
      </c>
      <c r="V126" s="284">
        <v>0</v>
      </c>
    </row>
    <row r="127" spans="1:22">
      <c r="G127" s="253"/>
      <c r="N127" s="253"/>
      <c r="O127" s="297"/>
      <c r="P127" s="253"/>
      <c r="Q127" s="253"/>
      <c r="R127" s="253"/>
      <c r="S127" s="297"/>
      <c r="T127" s="423"/>
      <c r="U127" s="423"/>
      <c r="V127" s="253"/>
    </row>
    <row r="128" spans="1:22">
      <c r="A128" s="279"/>
      <c r="B128" s="280"/>
      <c r="C128" s="280"/>
      <c r="D128" s="280"/>
      <c r="E128" s="280"/>
      <c r="F128" s="280"/>
      <c r="G128" s="281">
        <v>-1</v>
      </c>
      <c r="H128" s="893" t="str">
        <f>+H23</f>
        <v>Separate account liabilities</v>
      </c>
      <c r="I128" s="893"/>
      <c r="J128" s="893"/>
      <c r="K128" s="893"/>
      <c r="L128" s="893"/>
      <c r="M128" s="893"/>
      <c r="N128" s="281">
        <f t="shared" ref="N128:V128" si="78">+SUM(N129:N130)</f>
        <v>-2209287.3073793552</v>
      </c>
      <c r="O128" s="282">
        <f t="shared" si="78"/>
        <v>-2118097.542405447</v>
      </c>
      <c r="P128" s="281">
        <f t="shared" si="78"/>
        <v>-2318491.6641881927</v>
      </c>
      <c r="Q128" s="281">
        <f t="shared" si="78"/>
        <v>-2313873.8004165171</v>
      </c>
      <c r="R128" s="281">
        <f t="shared" si="78"/>
        <v>-2281520.4052366395</v>
      </c>
      <c r="S128" s="282">
        <f t="shared" si="78"/>
        <v>-2122558.4490081924</v>
      </c>
      <c r="T128" s="420">
        <f t="shared" si="78"/>
        <v>-2156498.4397324394</v>
      </c>
      <c r="U128" s="420">
        <f t="shared" si="78"/>
        <v>-2204309.8062399914</v>
      </c>
      <c r="V128" s="281">
        <f t="shared" si="78"/>
        <v>-2204309.8062399914</v>
      </c>
    </row>
    <row r="129" spans="1:22">
      <c r="A129" s="283" t="s">
        <v>52</v>
      </c>
      <c r="B129" s="283" t="s">
        <v>49</v>
      </c>
      <c r="C129" s="283" t="s">
        <v>61</v>
      </c>
      <c r="D129" s="283" t="s">
        <v>76</v>
      </c>
      <c r="E129" s="283" t="s">
        <v>129</v>
      </c>
      <c r="F129" s="283"/>
      <c r="G129" s="284">
        <v>-1</v>
      </c>
      <c r="H129" s="145"/>
      <c r="I129" s="145" t="str">
        <f>+RIGHT(D129,LEN(D129)-5)</f>
        <v>Separate Account Liabilities</v>
      </c>
      <c r="J129" s="145"/>
      <c r="K129" s="145"/>
      <c r="L129" s="145"/>
      <c r="M129" s="145"/>
      <c r="N129" s="284">
        <v>-2209287.3073793552</v>
      </c>
      <c r="O129" s="285">
        <v>-2118097.542405447</v>
      </c>
      <c r="P129" s="284">
        <v>-2318491.6641881927</v>
      </c>
      <c r="Q129" s="284">
        <v>-2313873.8004165171</v>
      </c>
      <c r="R129" s="284">
        <v>-2281520.4052366395</v>
      </c>
      <c r="S129" s="285">
        <v>-2122558.4490081924</v>
      </c>
      <c r="T129" s="421">
        <v>-2156498.4397324394</v>
      </c>
      <c r="U129" s="421">
        <v>-2204309.8062399914</v>
      </c>
      <c r="V129" s="284">
        <v>-2204309.8062399914</v>
      </c>
    </row>
    <row r="130" spans="1:22">
      <c r="G130" s="253"/>
      <c r="N130" s="253"/>
      <c r="O130" s="297"/>
      <c r="P130" s="253"/>
      <c r="Q130" s="253"/>
      <c r="R130" s="253"/>
      <c r="S130" s="297"/>
      <c r="T130" s="423"/>
      <c r="U130" s="423"/>
      <c r="V130" s="253"/>
    </row>
    <row r="131" spans="1:22">
      <c r="G131" s="253"/>
      <c r="I131" s="896"/>
      <c r="J131" s="896"/>
      <c r="K131" s="896"/>
      <c r="L131" s="896"/>
      <c r="M131" s="896"/>
      <c r="N131" s="389"/>
      <c r="O131" s="330"/>
      <c r="P131" s="389"/>
      <c r="Q131" s="389"/>
      <c r="R131" s="389"/>
      <c r="S131" s="330"/>
      <c r="T131" s="424"/>
      <c r="U131" s="424"/>
      <c r="V131" s="389"/>
    </row>
    <row r="132" spans="1:22">
      <c r="A132" s="279"/>
      <c r="B132" s="280"/>
      <c r="C132" s="280"/>
      <c r="D132" s="280"/>
      <c r="E132" s="280"/>
      <c r="F132" s="280"/>
      <c r="G132" s="281">
        <v>-1</v>
      </c>
      <c r="H132" s="893" t="str">
        <f>+J36</f>
        <v>Total stockholders’ equity</v>
      </c>
      <c r="I132" s="893"/>
      <c r="J132" s="893"/>
      <c r="K132" s="893"/>
      <c r="L132" s="893"/>
      <c r="M132" s="893"/>
      <c r="N132" s="281">
        <f t="shared" ref="N132:V132" si="79">+N36*$G132</f>
        <v>-2259041.4073059335</v>
      </c>
      <c r="O132" s="282">
        <f t="shared" si="79"/>
        <v>-2256408.9541828739</v>
      </c>
      <c r="P132" s="281">
        <f t="shared" si="79"/>
        <v>-2307516.4313716446</v>
      </c>
      <c r="Q132" s="281">
        <f t="shared" si="79"/>
        <v>-2295891.5753924022</v>
      </c>
      <c r="R132" s="281">
        <f t="shared" si="79"/>
        <v>-2445901.1881335527</v>
      </c>
      <c r="S132" s="282">
        <f t="shared" si="79"/>
        <v>-2519874.154112712</v>
      </c>
      <c r="T132" s="420">
        <f t="shared" si="79"/>
        <v>-2522953.4287755913</v>
      </c>
      <c r="U132" s="420">
        <f t="shared" si="79"/>
        <v>0</v>
      </c>
      <c r="V132" s="281">
        <f t="shared" si="79"/>
        <v>0</v>
      </c>
    </row>
    <row r="133" spans="1:22">
      <c r="A133" s="283" t="s">
        <v>52</v>
      </c>
      <c r="B133" s="283" t="s">
        <v>49</v>
      </c>
      <c r="C133" s="283" t="s">
        <v>61</v>
      </c>
      <c r="D133" s="283" t="s">
        <v>79</v>
      </c>
      <c r="E133" s="283" t="s">
        <v>129</v>
      </c>
      <c r="F133" s="283"/>
      <c r="G133" s="284">
        <v>-1</v>
      </c>
      <c r="H133" s="894"/>
      <c r="I133" s="145" t="str">
        <f>+RIGHT(D133,LEN(D133)-5)</f>
        <v>Total Equity</v>
      </c>
      <c r="J133" s="145"/>
      <c r="K133" s="145"/>
      <c r="L133" s="145"/>
      <c r="M133" s="145"/>
      <c r="N133" s="284">
        <v>-1788523.3528643926</v>
      </c>
      <c r="O133" s="285">
        <v>-2087358.0037773405</v>
      </c>
      <c r="P133" s="284">
        <v>-1960121.9225750093</v>
      </c>
      <c r="Q133" s="284">
        <v>-1741704.3252166035</v>
      </c>
      <c r="R133" s="284">
        <v>-1694667.3181327693</v>
      </c>
      <c r="S133" s="285">
        <v>-2329778.1339397239</v>
      </c>
      <c r="T133" s="421">
        <v>-2130579.111845938</v>
      </c>
      <c r="U133" s="421">
        <v>-1865274.401524147</v>
      </c>
      <c r="V133" s="284">
        <v>-1865274.401524147</v>
      </c>
    </row>
    <row r="134" spans="1:22">
      <c r="A134" s="283"/>
      <c r="B134" s="283"/>
      <c r="C134" s="283"/>
      <c r="D134" s="283"/>
      <c r="E134" s="283"/>
      <c r="F134" s="283"/>
      <c r="G134" s="286">
        <v>1</v>
      </c>
      <c r="H134" s="897"/>
      <c r="I134" s="146" t="str">
        <f>+I149</f>
        <v>Net Income to PRI</v>
      </c>
      <c r="N134" s="286">
        <f t="shared" ref="N134:V134" si="80">+N149*$G$134</f>
        <v>-470518.05444154073</v>
      </c>
      <c r="O134" s="287">
        <f t="shared" si="80"/>
        <v>-169050.95040553383</v>
      </c>
      <c r="P134" s="286">
        <f t="shared" si="80"/>
        <v>-347394.50879663578</v>
      </c>
      <c r="Q134" s="286">
        <f t="shared" si="80"/>
        <v>-554187.25017579901</v>
      </c>
      <c r="R134" s="286">
        <f t="shared" si="80"/>
        <v>-751233.87000078359</v>
      </c>
      <c r="S134" s="287">
        <f t="shared" si="80"/>
        <v>-190096.02017298818</v>
      </c>
      <c r="T134" s="203">
        <f t="shared" si="80"/>
        <v>-392374.31692965288</v>
      </c>
      <c r="U134" s="203">
        <f t="shared" si="80"/>
        <v>-1537714.4764104874</v>
      </c>
      <c r="V134" s="286">
        <f t="shared" si="80"/>
        <v>-1537714.4764104874</v>
      </c>
    </row>
    <row r="135" spans="1:22">
      <c r="A135" s="283"/>
      <c r="B135" s="283"/>
      <c r="C135" s="283"/>
      <c r="D135" s="283"/>
      <c r="E135" s="283"/>
      <c r="F135" s="283"/>
      <c r="G135" s="286">
        <v>-1</v>
      </c>
      <c r="H135" s="897"/>
      <c r="I135" s="146" t="str">
        <f>+_xlfn.CONCAT("Less: ",H138)</f>
        <v>Less: Redeemable noncontrolling interest</v>
      </c>
      <c r="N135" s="286">
        <f t="shared" ref="N135:V135" si="81">+N138*$G$135</f>
        <v>0</v>
      </c>
      <c r="O135" s="287">
        <f t="shared" si="81"/>
        <v>0</v>
      </c>
      <c r="P135" s="286">
        <f t="shared" si="81"/>
        <v>0</v>
      </c>
      <c r="Q135" s="286">
        <f t="shared" si="81"/>
        <v>0</v>
      </c>
      <c r="R135" s="286">
        <f t="shared" si="81"/>
        <v>0</v>
      </c>
      <c r="S135" s="287">
        <f t="shared" si="81"/>
        <v>0</v>
      </c>
      <c r="T135" s="203">
        <f t="shared" si="81"/>
        <v>0</v>
      </c>
      <c r="U135" s="203">
        <f t="shared" si="81"/>
        <v>0</v>
      </c>
      <c r="V135" s="286">
        <f t="shared" si="81"/>
        <v>0</v>
      </c>
    </row>
    <row r="136" spans="1:22" ht="14.4" thickBot="1">
      <c r="G136" s="253"/>
      <c r="I136" s="895" t="s">
        <v>78</v>
      </c>
      <c r="J136" s="895"/>
      <c r="K136" s="895"/>
      <c r="L136" s="895"/>
      <c r="M136" s="895"/>
      <c r="N136" s="288">
        <f t="shared" ref="N136:V136" si="82">+N132-SUM(N133:N135)</f>
        <v>0</v>
      </c>
      <c r="O136" s="289">
        <f t="shared" si="82"/>
        <v>0</v>
      </c>
      <c r="P136" s="288">
        <f t="shared" si="82"/>
        <v>0</v>
      </c>
      <c r="Q136" s="288">
        <f t="shared" si="82"/>
        <v>0</v>
      </c>
      <c r="R136" s="288">
        <f t="shared" si="82"/>
        <v>0</v>
      </c>
      <c r="S136" s="289">
        <f t="shared" si="82"/>
        <v>0</v>
      </c>
      <c r="T136" s="422">
        <f t="shared" si="82"/>
        <v>0</v>
      </c>
      <c r="U136" s="422">
        <f t="shared" si="82"/>
        <v>3402988.8779346347</v>
      </c>
      <c r="V136" s="288">
        <f t="shared" si="82"/>
        <v>3402988.8779346347</v>
      </c>
    </row>
    <row r="137" spans="1:22" ht="14.4" thickTop="1">
      <c r="G137" s="253"/>
      <c r="N137" s="253"/>
      <c r="O137" s="297"/>
      <c r="P137" s="253"/>
      <c r="Q137" s="253"/>
      <c r="R137" s="253"/>
      <c r="S137" s="297"/>
      <c r="T137" s="423"/>
      <c r="U137" s="423"/>
      <c r="V137" s="253"/>
    </row>
    <row r="138" spans="1:22">
      <c r="A138" s="279"/>
      <c r="B138" s="280"/>
      <c r="C138" s="280"/>
      <c r="D138" s="280"/>
      <c r="E138" s="280"/>
      <c r="F138" s="280"/>
      <c r="G138" s="281">
        <v>-1</v>
      </c>
      <c r="H138" s="893" t="str">
        <f>+G26</f>
        <v>Redeemable noncontrolling interest</v>
      </c>
      <c r="I138" s="893"/>
      <c r="J138" s="893"/>
      <c r="K138" s="893"/>
      <c r="L138" s="893"/>
      <c r="M138" s="893"/>
      <c r="N138" s="281">
        <f t="shared" ref="N138:V138" si="83">+SUM(N139:N140)</f>
        <v>0</v>
      </c>
      <c r="O138" s="282">
        <f t="shared" si="83"/>
        <v>0</v>
      </c>
      <c r="P138" s="281">
        <f t="shared" si="83"/>
        <v>0</v>
      </c>
      <c r="Q138" s="281">
        <f t="shared" si="83"/>
        <v>0</v>
      </c>
      <c r="R138" s="281">
        <f t="shared" si="83"/>
        <v>0</v>
      </c>
      <c r="S138" s="282">
        <f t="shared" si="83"/>
        <v>0</v>
      </c>
      <c r="T138" s="420">
        <f t="shared" si="83"/>
        <v>0</v>
      </c>
      <c r="U138" s="420">
        <f t="shared" si="83"/>
        <v>0</v>
      </c>
      <c r="V138" s="281">
        <f t="shared" si="83"/>
        <v>0</v>
      </c>
    </row>
    <row r="139" spans="1:22">
      <c r="A139" s="283" t="s">
        <v>52</v>
      </c>
      <c r="B139" s="283" t="s">
        <v>49</v>
      </c>
      <c r="C139" s="283" t="s">
        <v>61</v>
      </c>
      <c r="D139" s="283" t="s">
        <v>80</v>
      </c>
      <c r="E139" s="283" t="s">
        <v>129</v>
      </c>
      <c r="F139" s="283"/>
      <c r="G139" s="284">
        <v>-1</v>
      </c>
      <c r="H139" s="145"/>
      <c r="I139" s="145" t="str">
        <f>+RIGHT(D139,LEN(D139)-5)</f>
        <v>Temporary Stockholder</v>
      </c>
      <c r="J139" s="145"/>
      <c r="K139" s="145"/>
      <c r="L139" s="145"/>
      <c r="M139" s="145"/>
      <c r="N139" s="284">
        <v>0</v>
      </c>
      <c r="O139" s="285">
        <v>0</v>
      </c>
      <c r="P139" s="284">
        <v>0</v>
      </c>
      <c r="Q139" s="284">
        <v>0</v>
      </c>
      <c r="R139" s="284">
        <v>0</v>
      </c>
      <c r="S139" s="285">
        <v>0</v>
      </c>
      <c r="T139" s="421">
        <v>0</v>
      </c>
      <c r="U139" s="421">
        <v>0</v>
      </c>
      <c r="V139" s="284">
        <v>0</v>
      </c>
    </row>
    <row r="140" spans="1:22">
      <c r="G140" s="253"/>
      <c r="N140" s="253"/>
      <c r="O140" s="297"/>
      <c r="P140" s="253"/>
      <c r="Q140" s="253"/>
      <c r="R140" s="253"/>
      <c r="S140" s="297"/>
      <c r="T140" s="423"/>
      <c r="U140" s="423"/>
      <c r="V140" s="253"/>
    </row>
    <row r="141" spans="1:22">
      <c r="A141" s="279"/>
      <c r="B141" s="280"/>
      <c r="C141" s="280"/>
      <c r="D141" s="280"/>
      <c r="E141" s="280"/>
      <c r="F141" s="280"/>
      <c r="G141" s="281">
        <v>-1</v>
      </c>
      <c r="H141" s="893" t="str">
        <f>+H29</f>
        <v>Common stock ($0.01 par value)  (1)</v>
      </c>
      <c r="I141" s="893"/>
      <c r="J141" s="893"/>
      <c r="K141" s="893"/>
      <c r="L141" s="893"/>
      <c r="M141" s="893"/>
      <c r="N141" s="281">
        <f t="shared" ref="N141:V141" si="84">+SUM(N142:N143)</f>
        <v>-333.67737</v>
      </c>
      <c r="O141" s="282">
        <f t="shared" si="84"/>
        <v>-330.22554000000002</v>
      </c>
      <c r="P141" s="281">
        <f t="shared" si="84"/>
        <v>-325.45209</v>
      </c>
      <c r="Q141" s="281">
        <f t="shared" si="84"/>
        <v>-320.75564000000003</v>
      </c>
      <c r="R141" s="281">
        <f t="shared" si="84"/>
        <v>-318.09802999999999</v>
      </c>
      <c r="S141" s="282">
        <f t="shared" si="84"/>
        <v>-313.43338</v>
      </c>
      <c r="T141" s="420">
        <f t="shared" si="84"/>
        <v>-308.98185000000001</v>
      </c>
      <c r="U141" s="420">
        <f t="shared" si="84"/>
        <v>-308.17525999999998</v>
      </c>
      <c r="V141" s="281">
        <f t="shared" si="84"/>
        <v>-308.17525999999998</v>
      </c>
    </row>
    <row r="142" spans="1:22">
      <c r="A142" s="283" t="s">
        <v>52</v>
      </c>
      <c r="B142" s="283" t="s">
        <v>49</v>
      </c>
      <c r="C142" s="283" t="s">
        <v>61</v>
      </c>
      <c r="D142" s="283" t="s">
        <v>81</v>
      </c>
      <c r="E142" s="283" t="s">
        <v>129</v>
      </c>
      <c r="F142" s="283"/>
      <c r="G142" s="284">
        <v>-1</v>
      </c>
      <c r="H142" s="145"/>
      <c r="I142" s="145" t="str">
        <f>+RIGHT(D142,LEN(D142)-5)</f>
        <v>Common Stock</v>
      </c>
      <c r="J142" s="145"/>
      <c r="K142" s="145"/>
      <c r="L142" s="145"/>
      <c r="M142" s="145"/>
      <c r="N142" s="284">
        <v>-333.67737</v>
      </c>
      <c r="O142" s="285">
        <v>-330.22554000000002</v>
      </c>
      <c r="P142" s="284">
        <v>-325.45209</v>
      </c>
      <c r="Q142" s="284">
        <v>-320.75564000000003</v>
      </c>
      <c r="R142" s="284">
        <v>-318.09802999999999</v>
      </c>
      <c r="S142" s="285">
        <v>-313.43338</v>
      </c>
      <c r="T142" s="421">
        <v>-308.98185000000001</v>
      </c>
      <c r="U142" s="421">
        <v>-308.17525999999998</v>
      </c>
      <c r="V142" s="284">
        <v>-308.17525999999998</v>
      </c>
    </row>
    <row r="143" spans="1:22">
      <c r="G143" s="253"/>
      <c r="N143" s="253"/>
      <c r="O143" s="297"/>
      <c r="P143" s="253"/>
      <c r="Q143" s="253"/>
      <c r="R143" s="253"/>
      <c r="S143" s="297"/>
      <c r="T143" s="423"/>
      <c r="U143" s="423"/>
      <c r="V143" s="253"/>
    </row>
    <row r="144" spans="1:22">
      <c r="A144" s="279"/>
      <c r="B144" s="280"/>
      <c r="C144" s="280"/>
      <c r="D144" s="280"/>
      <c r="E144" s="280"/>
      <c r="F144" s="280"/>
      <c r="G144" s="281">
        <v>-1</v>
      </c>
      <c r="H144" s="893" t="str">
        <f>+H30</f>
        <v>Paid-in capital</v>
      </c>
      <c r="I144" s="893"/>
      <c r="J144" s="893"/>
      <c r="K144" s="893"/>
      <c r="L144" s="893"/>
      <c r="M144" s="893"/>
      <c r="N144" s="281">
        <f t="shared" ref="N144:V144" si="85">+SUM(N145:N146)</f>
        <v>0</v>
      </c>
      <c r="O144" s="282">
        <f t="shared" si="85"/>
        <v>0</v>
      </c>
      <c r="P144" s="281">
        <f t="shared" si="85"/>
        <v>0</v>
      </c>
      <c r="Q144" s="281">
        <f t="shared" si="85"/>
        <v>0</v>
      </c>
      <c r="R144" s="281">
        <f t="shared" si="85"/>
        <v>0</v>
      </c>
      <c r="S144" s="282">
        <f t="shared" si="85"/>
        <v>0</v>
      </c>
      <c r="T144" s="420">
        <f t="shared" si="85"/>
        <v>0</v>
      </c>
      <c r="U144" s="420">
        <f t="shared" si="85"/>
        <v>24338.18965</v>
      </c>
      <c r="V144" s="281">
        <f t="shared" si="85"/>
        <v>24338.18965</v>
      </c>
    </row>
    <row r="145" spans="1:22">
      <c r="A145" s="283" t="s">
        <v>52</v>
      </c>
      <c r="B145" s="283" t="s">
        <v>49</v>
      </c>
      <c r="C145" s="283" t="s">
        <v>61</v>
      </c>
      <c r="D145" s="283" t="s">
        <v>82</v>
      </c>
      <c r="E145" s="283" t="s">
        <v>129</v>
      </c>
      <c r="F145" s="283"/>
      <c r="G145" s="284">
        <v>-1</v>
      </c>
      <c r="H145" s="145"/>
      <c r="I145" s="145" t="str">
        <f>+RIGHT(D145,LEN(D145)-5)</f>
        <v>Additional Paid in Capital</v>
      </c>
      <c r="J145" s="145"/>
      <c r="K145" s="145"/>
      <c r="L145" s="145"/>
      <c r="M145" s="145"/>
      <c r="N145" s="284">
        <v>0</v>
      </c>
      <c r="O145" s="285">
        <v>0</v>
      </c>
      <c r="P145" s="284">
        <v>0</v>
      </c>
      <c r="Q145" s="284">
        <v>0</v>
      </c>
      <c r="R145" s="284">
        <v>0</v>
      </c>
      <c r="S145" s="285">
        <v>0</v>
      </c>
      <c r="T145" s="421">
        <v>0</v>
      </c>
      <c r="U145" s="421">
        <v>24338.18965</v>
      </c>
      <c r="V145" s="284">
        <v>24338.18965</v>
      </c>
    </row>
    <row r="146" spans="1:22">
      <c r="G146" s="253"/>
      <c r="N146" s="253"/>
      <c r="O146" s="297"/>
      <c r="P146" s="253"/>
      <c r="Q146" s="253"/>
      <c r="R146" s="253"/>
      <c r="S146" s="297"/>
      <c r="T146" s="423"/>
      <c r="U146" s="423"/>
      <c r="V146" s="253"/>
    </row>
    <row r="147" spans="1:22">
      <c r="A147" s="279"/>
      <c r="B147" s="280"/>
      <c r="C147" s="280"/>
      <c r="D147" s="280"/>
      <c r="E147" s="280"/>
      <c r="F147" s="280"/>
      <c r="G147" s="281">
        <v>-1</v>
      </c>
      <c r="H147" s="893" t="str">
        <f>+H31</f>
        <v>Retained earnings</v>
      </c>
      <c r="I147" s="893"/>
      <c r="J147" s="893"/>
      <c r="K147" s="893"/>
      <c r="L147" s="893"/>
      <c r="M147" s="893"/>
      <c r="N147" s="281">
        <f t="shared" ref="N147:V147" si="86">+SUM(N148:N151)</f>
        <v>-2231483.2252115407</v>
      </c>
      <c r="O147" s="282">
        <f t="shared" si="86"/>
        <v>-2253434.6335455338</v>
      </c>
      <c r="P147" s="281">
        <f t="shared" si="86"/>
        <v>-2270996.4918966359</v>
      </c>
      <c r="Q147" s="281">
        <f t="shared" si="86"/>
        <v>-2319750.1036957987</v>
      </c>
      <c r="R147" s="281">
        <f t="shared" si="86"/>
        <v>-2416148.7048707833</v>
      </c>
      <c r="S147" s="282">
        <f t="shared" si="86"/>
        <v>-2440206.9593429882</v>
      </c>
      <c r="T147" s="420">
        <f t="shared" si="86"/>
        <v>-2473436.4893396529</v>
      </c>
      <c r="U147" s="420">
        <f t="shared" si="86"/>
        <v>-3618776.6488204873</v>
      </c>
      <c r="V147" s="281">
        <f t="shared" si="86"/>
        <v>-3618776.6488204873</v>
      </c>
    </row>
    <row r="148" spans="1:22">
      <c r="A148" s="283" t="s">
        <v>52</v>
      </c>
      <c r="B148" s="283" t="s">
        <v>49</v>
      </c>
      <c r="C148" s="283" t="s">
        <v>61</v>
      </c>
      <c r="D148" s="283" t="s">
        <v>83</v>
      </c>
      <c r="E148" s="283" t="s">
        <v>129</v>
      </c>
      <c r="F148" s="283"/>
      <c r="G148" s="284">
        <v>-1</v>
      </c>
      <c r="H148" s="145"/>
      <c r="I148" s="145" t="str">
        <f>+RIGHT(D148,LEN(D148)-5)</f>
        <v>Retained Earnings</v>
      </c>
      <c r="J148" s="145"/>
      <c r="K148" s="145"/>
      <c r="L148" s="145"/>
      <c r="M148" s="145"/>
      <c r="N148" s="284">
        <v>-1873779.0159399998</v>
      </c>
      <c r="O148" s="285">
        <v>-2119119.7240899997</v>
      </c>
      <c r="P148" s="284">
        <v>-1992547.17873</v>
      </c>
      <c r="Q148" s="284">
        <v>-1868327.2173599999</v>
      </c>
      <c r="R148" s="284">
        <v>-1800966.7823999999</v>
      </c>
      <c r="S148" s="285">
        <v>-2288227.86888</v>
      </c>
      <c r="T148" s="421">
        <v>-2156659.2527600001</v>
      </c>
      <c r="U148" s="421">
        <v>-2156659.2527600001</v>
      </c>
      <c r="V148" s="284">
        <v>-2156659.2527600001</v>
      </c>
    </row>
    <row r="149" spans="1:22">
      <c r="A149" s="283" t="s">
        <v>52</v>
      </c>
      <c r="B149" s="283" t="s">
        <v>49</v>
      </c>
      <c r="C149" s="283" t="s">
        <v>61</v>
      </c>
      <c r="D149" s="283" t="s">
        <v>93</v>
      </c>
      <c r="E149" s="283" t="s">
        <v>129</v>
      </c>
      <c r="F149" s="283"/>
      <c r="G149" s="284">
        <v>-1</v>
      </c>
      <c r="H149" s="145"/>
      <c r="I149" s="145" t="str">
        <f>+RIGHT(D149,LEN(D149)-5)</f>
        <v>Net Income to PRI</v>
      </c>
      <c r="J149" s="145"/>
      <c r="K149" s="145"/>
      <c r="L149" s="145"/>
      <c r="M149" s="145"/>
      <c r="N149" s="284">
        <v>-470518.05444154073</v>
      </c>
      <c r="O149" s="285">
        <v>-169050.95040553383</v>
      </c>
      <c r="P149" s="284">
        <v>-347394.50879663578</v>
      </c>
      <c r="Q149" s="284">
        <v>-554187.25017579901</v>
      </c>
      <c r="R149" s="284">
        <v>-751233.87000078359</v>
      </c>
      <c r="S149" s="285">
        <v>-190096.02017298818</v>
      </c>
      <c r="T149" s="421">
        <v>-392374.31692965288</v>
      </c>
      <c r="U149" s="421">
        <v>-1537714.4764104874</v>
      </c>
      <c r="V149" s="284">
        <v>-1537714.4764104874</v>
      </c>
    </row>
    <row r="150" spans="1:22">
      <c r="A150" s="283" t="s">
        <v>52</v>
      </c>
      <c r="B150" s="283" t="s">
        <v>49</v>
      </c>
      <c r="C150" s="283" t="s">
        <v>61</v>
      </c>
      <c r="D150" s="283" t="s">
        <v>84</v>
      </c>
      <c r="E150" s="283" t="s">
        <v>129</v>
      </c>
      <c r="F150" s="283"/>
      <c r="G150" s="284">
        <v>-1</v>
      </c>
      <c r="H150" s="894"/>
      <c r="I150" s="145" t="str">
        <f>+RIGHT(D150,LEN(D150)-5)</f>
        <v>Dividends</v>
      </c>
      <c r="J150" s="145"/>
      <c r="K150" s="145"/>
      <c r="L150" s="145"/>
      <c r="M150" s="145"/>
      <c r="N150" s="284">
        <v>112813.84517</v>
      </c>
      <c r="O150" s="285">
        <v>34736.040950000002</v>
      </c>
      <c r="P150" s="284">
        <v>68945.195630000002</v>
      </c>
      <c r="Q150" s="284">
        <v>102764.36384000001</v>
      </c>
      <c r="R150" s="284">
        <v>136051.94753</v>
      </c>
      <c r="S150" s="285">
        <v>38116.929709999997</v>
      </c>
      <c r="T150" s="421">
        <v>75597.080350000004</v>
      </c>
      <c r="U150" s="421">
        <v>75597.080350000004</v>
      </c>
      <c r="V150" s="284">
        <v>75597.080350000004</v>
      </c>
    </row>
    <row r="151" spans="1:22">
      <c r="G151" s="253"/>
      <c r="N151" s="253"/>
      <c r="O151" s="297"/>
      <c r="P151" s="253"/>
      <c r="Q151" s="253"/>
      <c r="R151" s="253"/>
      <c r="S151" s="297"/>
      <c r="T151" s="423"/>
      <c r="U151" s="423"/>
      <c r="V151" s="253"/>
    </row>
    <row r="152" spans="1:22">
      <c r="A152" s="279"/>
      <c r="B152" s="280"/>
      <c r="C152" s="280"/>
      <c r="D152" s="280"/>
      <c r="E152" s="280"/>
      <c r="F152" s="280"/>
      <c r="G152" s="281">
        <v>-1</v>
      </c>
      <c r="H152" s="893" t="str">
        <f>+I33</f>
        <v>Net unrealized gains (losses)</v>
      </c>
      <c r="I152" s="893"/>
      <c r="J152" s="893"/>
      <c r="K152" s="893"/>
      <c r="L152" s="893"/>
      <c r="M152" s="893"/>
      <c r="N152" s="281">
        <f t="shared" ref="N152:V152" si="87">+SUM(N153:N154)</f>
        <v>162841.99281999998</v>
      </c>
      <c r="O152" s="282">
        <f t="shared" si="87"/>
        <v>133763.54121</v>
      </c>
      <c r="P152" s="281">
        <f t="shared" si="87"/>
        <v>124629.05531</v>
      </c>
      <c r="Q152" s="281">
        <f t="shared" si="87"/>
        <v>91680.181700000001</v>
      </c>
      <c r="R152" s="281">
        <f t="shared" si="87"/>
        <v>89323.366529999999</v>
      </c>
      <c r="S152" s="282">
        <f t="shared" si="87"/>
        <v>121050.96218</v>
      </c>
      <c r="T152" s="420">
        <f t="shared" si="87"/>
        <v>110635.45735</v>
      </c>
      <c r="U152" s="420">
        <f t="shared" si="87"/>
        <v>110635.45735</v>
      </c>
      <c r="V152" s="281">
        <f t="shared" si="87"/>
        <v>110635.45735</v>
      </c>
    </row>
    <row r="153" spans="1:22">
      <c r="A153" s="283" t="s">
        <v>52</v>
      </c>
      <c r="B153" s="283" t="s">
        <v>49</v>
      </c>
      <c r="C153" s="283" t="s">
        <v>61</v>
      </c>
      <c r="D153" s="283" t="s">
        <v>86</v>
      </c>
      <c r="E153" s="283" t="s">
        <v>129</v>
      </c>
      <c r="F153" s="283"/>
      <c r="G153" s="284">
        <v>-1</v>
      </c>
      <c r="H153" s="145"/>
      <c r="I153" s="145" t="str">
        <f>+RIGHT(D153,LEN(D153)-5)</f>
        <v>Net Unrealized Gains &amp; Losses</v>
      </c>
      <c r="J153" s="145"/>
      <c r="K153" s="145"/>
      <c r="L153" s="145"/>
      <c r="M153" s="145"/>
      <c r="N153" s="284">
        <v>162841.99281999998</v>
      </c>
      <c r="O153" s="285">
        <v>133763.54121</v>
      </c>
      <c r="P153" s="284">
        <v>124629.05531</v>
      </c>
      <c r="Q153" s="284">
        <v>91680.181700000001</v>
      </c>
      <c r="R153" s="284">
        <v>89323.366529999999</v>
      </c>
      <c r="S153" s="285">
        <v>121050.96218</v>
      </c>
      <c r="T153" s="421">
        <v>110635.45735</v>
      </c>
      <c r="U153" s="421">
        <v>110635.45735</v>
      </c>
      <c r="V153" s="284">
        <v>110635.45735</v>
      </c>
    </row>
    <row r="154" spans="1:22">
      <c r="G154" s="253"/>
      <c r="N154" s="253"/>
      <c r="O154" s="297"/>
      <c r="P154" s="253"/>
      <c r="Q154" s="253"/>
      <c r="R154" s="253"/>
      <c r="S154" s="297"/>
      <c r="T154" s="423"/>
      <c r="U154" s="423"/>
      <c r="V154" s="253"/>
    </row>
    <row r="155" spans="1:22">
      <c r="A155" s="279"/>
      <c r="B155" s="280"/>
      <c r="C155" s="280"/>
      <c r="D155" s="280"/>
      <c r="E155" s="280"/>
      <c r="F155" s="280"/>
      <c r="G155" s="281">
        <v>-1</v>
      </c>
      <c r="H155" s="893" t="str">
        <f>+I35</f>
        <v>Cumulative translation adjustment</v>
      </c>
      <c r="I155" s="893"/>
      <c r="J155" s="893"/>
      <c r="K155" s="893"/>
      <c r="L155" s="893"/>
      <c r="M155" s="893"/>
      <c r="N155" s="281">
        <f t="shared" ref="N155:V155" si="88">+SUM(N156:N157)</f>
        <v>34766.627185607453</v>
      </c>
      <c r="O155" s="282">
        <f t="shared" si="88"/>
        <v>35190.952892659603</v>
      </c>
      <c r="P155" s="281">
        <f t="shared" si="88"/>
        <v>13802.734374990772</v>
      </c>
      <c r="Q155" s="281">
        <f t="shared" si="88"/>
        <v>22191.147693396419</v>
      </c>
      <c r="R155" s="281">
        <f t="shared" si="88"/>
        <v>15836.406847230606</v>
      </c>
      <c r="S155" s="282">
        <f t="shared" si="88"/>
        <v>23387.50672027592</v>
      </c>
      <c r="T155" s="420">
        <f t="shared" si="88"/>
        <v>30952.259644062</v>
      </c>
      <c r="U155" s="420">
        <f t="shared" si="88"/>
        <v>271917.97372585291</v>
      </c>
      <c r="V155" s="281">
        <f t="shared" si="88"/>
        <v>271917.97372585291</v>
      </c>
    </row>
    <row r="156" spans="1:22">
      <c r="A156" s="283" t="s">
        <v>52</v>
      </c>
      <c r="B156" s="283" t="s">
        <v>49</v>
      </c>
      <c r="C156" s="283" t="s">
        <v>61</v>
      </c>
      <c r="D156" s="283" t="s">
        <v>87</v>
      </c>
      <c r="E156" s="283" t="s">
        <v>129</v>
      </c>
      <c r="F156" s="283"/>
      <c r="G156" s="284">
        <v>-1</v>
      </c>
      <c r="H156" s="145"/>
      <c r="I156" s="145" t="str">
        <f>+RIGHT(D156,LEN(D156)-5)</f>
        <v>Translation Adjustment</v>
      </c>
      <c r="J156" s="145"/>
      <c r="K156" s="145"/>
      <c r="L156" s="145"/>
      <c r="M156" s="145"/>
      <c r="N156" s="284">
        <v>34766.627185607453</v>
      </c>
      <c r="O156" s="285">
        <v>35190.952892659603</v>
      </c>
      <c r="P156" s="284">
        <v>13802.734374990772</v>
      </c>
      <c r="Q156" s="284">
        <v>22191.147693396419</v>
      </c>
      <c r="R156" s="284">
        <v>15836.406847230606</v>
      </c>
      <c r="S156" s="285">
        <v>23387.50672027592</v>
      </c>
      <c r="T156" s="421">
        <v>30952.259644062</v>
      </c>
      <c r="U156" s="421">
        <v>271917.97372585291</v>
      </c>
      <c r="V156" s="284">
        <v>271917.97372585291</v>
      </c>
    </row>
    <row r="157" spans="1:22">
      <c r="G157" s="253"/>
      <c r="N157" s="253"/>
      <c r="O157" s="297"/>
      <c r="P157" s="253"/>
      <c r="Q157" s="253"/>
      <c r="R157" s="253"/>
      <c r="S157" s="297"/>
      <c r="T157" s="423"/>
      <c r="U157" s="423"/>
      <c r="V157" s="253"/>
    </row>
    <row r="158" spans="1:22">
      <c r="A158" s="279"/>
      <c r="B158" s="280"/>
      <c r="C158" s="280"/>
      <c r="D158" s="280"/>
      <c r="E158" s="280"/>
      <c r="F158" s="280"/>
      <c r="G158" s="281">
        <v>-1</v>
      </c>
      <c r="H158" s="893" t="str">
        <f>+I34</f>
        <v>Effect of change in discount rate assumptions on the liability for future policy benefits</v>
      </c>
      <c r="I158" s="893"/>
      <c r="J158" s="893"/>
      <c r="K158" s="893"/>
      <c r="L158" s="893"/>
      <c r="M158" s="893"/>
      <c r="N158" s="281">
        <f t="shared" ref="N158:V158" si="89">+SUM(N159:N160)</f>
        <v>-224833.12473000001</v>
      </c>
      <c r="O158" s="282">
        <f t="shared" si="89"/>
        <v>-171598.58919999999</v>
      </c>
      <c r="P158" s="281">
        <f t="shared" si="89"/>
        <v>-174626.27707000001</v>
      </c>
      <c r="Q158" s="281">
        <f t="shared" si="89"/>
        <v>-89692.045450000005</v>
      </c>
      <c r="R158" s="281">
        <f t="shared" si="89"/>
        <v>-134594.15861000001</v>
      </c>
      <c r="S158" s="282">
        <f t="shared" si="89"/>
        <v>-223792.23028999998</v>
      </c>
      <c r="T158" s="420">
        <f t="shared" si="89"/>
        <v>-190795.67458000002</v>
      </c>
      <c r="U158" s="420">
        <f t="shared" si="89"/>
        <v>-190795.67458000002</v>
      </c>
      <c r="V158" s="281">
        <f t="shared" si="89"/>
        <v>-190795.67458000002</v>
      </c>
    </row>
    <row r="159" spans="1:22">
      <c r="A159" s="283" t="s">
        <v>52</v>
      </c>
      <c r="B159" s="283" t="s">
        <v>49</v>
      </c>
      <c r="C159" s="283" t="s">
        <v>61</v>
      </c>
      <c r="D159" s="283" t="s">
        <v>88</v>
      </c>
      <c r="E159" s="283" t="s">
        <v>129</v>
      </c>
      <c r="F159" s="283"/>
      <c r="G159" s="284">
        <v>-1</v>
      </c>
      <c r="H159" s="145"/>
      <c r="I159" s="145" t="str">
        <f>+RIGHT(D159,LEN(D159)-5)</f>
        <v>Change in Current Discount Rate</v>
      </c>
      <c r="J159" s="145"/>
      <c r="K159" s="145"/>
      <c r="L159" s="145"/>
      <c r="M159" s="145"/>
      <c r="N159" s="284">
        <v>-224833.12473000001</v>
      </c>
      <c r="O159" s="285">
        <v>-171598.58919999999</v>
      </c>
      <c r="P159" s="284">
        <v>-174626.27707000001</v>
      </c>
      <c r="Q159" s="284">
        <v>-89692.045450000005</v>
      </c>
      <c r="R159" s="284">
        <v>-134594.15861000001</v>
      </c>
      <c r="S159" s="285">
        <v>-223792.23028999998</v>
      </c>
      <c r="T159" s="421">
        <v>-190795.67458000002</v>
      </c>
      <c r="U159" s="421">
        <v>-190795.67458000002</v>
      </c>
      <c r="V159" s="284">
        <v>-190795.67458000002</v>
      </c>
    </row>
    <row r="160" spans="1:22">
      <c r="G160" s="253"/>
      <c r="N160" s="253"/>
      <c r="O160" s="297"/>
      <c r="P160" s="253"/>
      <c r="Q160" s="253"/>
      <c r="R160" s="253"/>
      <c r="S160" s="297"/>
      <c r="T160" s="423"/>
      <c r="U160" s="423"/>
      <c r="V160" s="253"/>
    </row>
    <row r="161" spans="1:22">
      <c r="A161" s="279"/>
      <c r="B161" s="280"/>
      <c r="C161" s="280"/>
      <c r="D161" s="280"/>
      <c r="E161" s="280"/>
      <c r="F161" s="280"/>
      <c r="G161" s="281">
        <v>-1</v>
      </c>
      <c r="H161" s="893" t="str">
        <f>+G45</f>
        <v>Adjusted Stockholders' Equity Roll Forward</v>
      </c>
      <c r="I161" s="893"/>
      <c r="J161" s="893"/>
      <c r="K161" s="893"/>
      <c r="L161" s="893"/>
      <c r="M161" s="893"/>
      <c r="N161" s="281">
        <f t="shared" ref="N161:V161" si="90">+SUM(N162:N163)</f>
        <v>0</v>
      </c>
      <c r="O161" s="282">
        <f t="shared" si="90"/>
        <v>0</v>
      </c>
      <c r="P161" s="281">
        <f t="shared" si="90"/>
        <v>0</v>
      </c>
      <c r="Q161" s="281">
        <f t="shared" si="90"/>
        <v>0</v>
      </c>
      <c r="R161" s="281">
        <f t="shared" si="90"/>
        <v>0</v>
      </c>
      <c r="S161" s="282">
        <f t="shared" si="90"/>
        <v>0</v>
      </c>
      <c r="T161" s="420">
        <f t="shared" si="90"/>
        <v>0</v>
      </c>
      <c r="U161" s="420">
        <f t="shared" si="90"/>
        <v>0</v>
      </c>
      <c r="V161" s="281">
        <f t="shared" si="90"/>
        <v>0</v>
      </c>
    </row>
    <row r="162" spans="1:22">
      <c r="A162" s="283" t="s">
        <v>52</v>
      </c>
      <c r="B162" s="283" t="s">
        <v>49</v>
      </c>
      <c r="C162" s="283" t="s">
        <v>61</v>
      </c>
      <c r="D162" s="283" t="s">
        <v>85</v>
      </c>
      <c r="E162" s="283" t="s">
        <v>129</v>
      </c>
      <c r="F162" s="283"/>
      <c r="G162" s="284">
        <v>-1</v>
      </c>
      <c r="H162" s="145"/>
      <c r="I162" s="145" t="str">
        <f>+RIGHT(D162,LEN(D162)-5)</f>
        <v>Preferred Stock</v>
      </c>
      <c r="J162" s="145"/>
      <c r="K162" s="145"/>
      <c r="L162" s="145"/>
      <c r="M162" s="145"/>
      <c r="N162" s="284">
        <v>0</v>
      </c>
      <c r="O162" s="285">
        <v>0</v>
      </c>
      <c r="P162" s="284">
        <v>0</v>
      </c>
      <c r="Q162" s="284">
        <v>0</v>
      </c>
      <c r="R162" s="284">
        <v>0</v>
      </c>
      <c r="S162" s="285">
        <v>0</v>
      </c>
      <c r="T162" s="421">
        <v>0</v>
      </c>
      <c r="U162" s="421">
        <v>0</v>
      </c>
      <c r="V162" s="284">
        <v>0</v>
      </c>
    </row>
    <row r="163" spans="1:22">
      <c r="G163" s="253"/>
      <c r="N163" s="253"/>
      <c r="O163" s="297"/>
      <c r="P163" s="253"/>
      <c r="Q163" s="253"/>
      <c r="R163" s="253"/>
      <c r="S163" s="297"/>
      <c r="T163" s="423"/>
      <c r="U163" s="423"/>
      <c r="V163" s="253"/>
    </row>
    <row r="164" spans="1:22">
      <c r="G164" s="253"/>
      <c r="H164" s="896" t="s">
        <v>713</v>
      </c>
      <c r="N164" s="253"/>
      <c r="O164" s="297"/>
      <c r="P164" s="253"/>
      <c r="Q164" s="253"/>
      <c r="R164" s="253"/>
      <c r="S164" s="297"/>
      <c r="T164" s="423"/>
      <c r="U164" s="423"/>
      <c r="V164" s="253"/>
    </row>
    <row r="165" spans="1:22">
      <c r="A165" s="279"/>
      <c r="B165" s="280"/>
      <c r="C165" s="280"/>
      <c r="D165" s="280"/>
      <c r="E165" s="280"/>
      <c r="F165" s="280"/>
      <c r="G165" s="281">
        <v>-1</v>
      </c>
      <c r="H165" s="893" t="str">
        <f>+H48</f>
        <v>Shareholder dividends</v>
      </c>
      <c r="I165" s="893"/>
      <c r="J165" s="893"/>
      <c r="K165" s="893"/>
      <c r="L165" s="893"/>
      <c r="M165" s="893"/>
      <c r="N165" s="281">
        <f t="shared" ref="N165:V165" si="91">+SUM(N166:N167)</f>
        <v>30207.43405</v>
      </c>
      <c r="O165" s="282">
        <f t="shared" si="91"/>
        <v>34736.040950000002</v>
      </c>
      <c r="P165" s="281">
        <f t="shared" si="91"/>
        <v>34209.15468</v>
      </c>
      <c r="Q165" s="281">
        <f t="shared" si="91"/>
        <v>33819.168209999996</v>
      </c>
      <c r="R165" s="281">
        <f t="shared" si="91"/>
        <v>33287.583689999999</v>
      </c>
      <c r="S165" s="282">
        <f t="shared" si="91"/>
        <v>38116.929709999997</v>
      </c>
      <c r="T165" s="420">
        <f t="shared" si="91"/>
        <v>37480.15064</v>
      </c>
      <c r="U165" s="420">
        <f t="shared" si="91"/>
        <v>0</v>
      </c>
      <c r="V165" s="281">
        <f t="shared" si="91"/>
        <v>0</v>
      </c>
    </row>
    <row r="166" spans="1:22">
      <c r="A166" s="283" t="s">
        <v>52</v>
      </c>
      <c r="B166" s="283" t="s">
        <v>50</v>
      </c>
      <c r="C166" s="283" t="s">
        <v>709</v>
      </c>
      <c r="D166" s="283" t="s">
        <v>84</v>
      </c>
      <c r="E166" s="283" t="s">
        <v>129</v>
      </c>
      <c r="F166" s="283"/>
      <c r="G166" s="284">
        <v>-1</v>
      </c>
      <c r="H166" s="145"/>
      <c r="I166" s="145" t="str">
        <f>+RIGHT(D166,LEN(D166)-5)</f>
        <v>Dividends</v>
      </c>
      <c r="J166" s="145"/>
      <c r="K166" s="145"/>
      <c r="L166" s="145"/>
      <c r="M166" s="145"/>
      <c r="N166" s="284">
        <v>30207.43405</v>
      </c>
      <c r="O166" s="285">
        <v>34736.040950000002</v>
      </c>
      <c r="P166" s="284">
        <v>34209.15468</v>
      </c>
      <c r="Q166" s="284">
        <v>33819.168209999996</v>
      </c>
      <c r="R166" s="284">
        <v>33287.583689999999</v>
      </c>
      <c r="S166" s="285">
        <v>38116.929709999997</v>
      </c>
      <c r="T166" s="421">
        <v>37480.15064</v>
      </c>
      <c r="U166" s="421">
        <v>0</v>
      </c>
      <c r="V166" s="284">
        <v>0</v>
      </c>
    </row>
    <row r="167" spans="1:22">
      <c r="G167" s="253"/>
      <c r="N167" s="253"/>
      <c r="O167" s="297"/>
      <c r="P167" s="253"/>
      <c r="Q167" s="253"/>
      <c r="R167" s="253"/>
      <c r="S167" s="297"/>
      <c r="T167" s="423"/>
      <c r="U167" s="423"/>
      <c r="V167" s="253"/>
    </row>
    <row r="168" spans="1:22">
      <c r="A168" s="279"/>
      <c r="B168" s="280"/>
      <c r="C168" s="280"/>
      <c r="D168" s="280"/>
      <c r="E168" s="280"/>
      <c r="F168" s="280"/>
      <c r="G168" s="281">
        <v>1</v>
      </c>
      <c r="H168" s="893" t="str">
        <f>+H49</f>
        <v>Retirement of shares</v>
      </c>
      <c r="I168" s="893"/>
      <c r="J168" s="893"/>
      <c r="K168" s="893"/>
      <c r="L168" s="893"/>
      <c r="M168" s="893"/>
      <c r="N168" s="281">
        <f t="shared" ref="N168:V168" si="92">+SUM(N169:N170)</f>
        <v>-45703.13</v>
      </c>
      <c r="O168" s="282">
        <f t="shared" si="92"/>
        <v>-126636.656</v>
      </c>
      <c r="P168" s="281">
        <f t="shared" si="92"/>
        <v>-129123.723</v>
      </c>
      <c r="Q168" s="281">
        <f t="shared" si="92"/>
        <v>-128999.702</v>
      </c>
      <c r="R168" s="281">
        <f t="shared" si="92"/>
        <v>-74653.765070000009</v>
      </c>
      <c r="S168" s="282">
        <f t="shared" si="92"/>
        <v>-140974.489</v>
      </c>
      <c r="T168" s="420">
        <f t="shared" si="92"/>
        <v>-135295.23800000001</v>
      </c>
      <c r="U168" s="420">
        <f t="shared" si="92"/>
        <v>0</v>
      </c>
      <c r="V168" s="281">
        <f t="shared" si="92"/>
        <v>0</v>
      </c>
    </row>
    <row r="169" spans="1:22">
      <c r="A169" s="283"/>
      <c r="B169" s="283"/>
      <c r="C169" s="283"/>
      <c r="D169" s="283"/>
      <c r="E169" s="283"/>
      <c r="F169" s="283"/>
      <c r="G169" s="390">
        <v>1</v>
      </c>
      <c r="H169" s="898"/>
      <c r="I169" s="898" t="s">
        <v>92</v>
      </c>
      <c r="J169" s="898"/>
      <c r="K169" s="898"/>
      <c r="L169" s="898"/>
      <c r="M169" s="898"/>
      <c r="N169" s="390">
        <f>+SUMIF(Manual!$2:$2,_xlfn.CONCAT(RIGHT(N$69,2),CHAR(10),LEFT(N$69,4)),Manual!$4:$4)</f>
        <v>-45703.13</v>
      </c>
      <c r="O169" s="391">
        <f>+SUMIF(Manual!$2:$2,_xlfn.CONCAT(RIGHT(O$69,2),CHAR(10),LEFT(O$69,4)),Manual!$4:$4)</f>
        <v>-126636.656</v>
      </c>
      <c r="P169" s="390">
        <f>+SUMIF(Manual!$2:$2,_xlfn.CONCAT(RIGHT(P$69,2),CHAR(10),LEFT(P$69,4)),Manual!$4:$4)</f>
        <v>-129123.723</v>
      </c>
      <c r="Q169" s="390">
        <f>+SUMIF(Manual!$2:$2,_xlfn.CONCAT(RIGHT(Q$69,2),CHAR(10),LEFT(Q$69,4)),Manual!$4:$4)</f>
        <v>-128999.702</v>
      </c>
      <c r="R169" s="390">
        <f>+SUMIF(Manual!$2:$2,_xlfn.CONCAT(RIGHT(R$69,2),CHAR(10),LEFT(R$69,4)),Manual!$4:$4)</f>
        <v>-74653.765070000009</v>
      </c>
      <c r="S169" s="391">
        <f>+SUMIF(Manual!$2:$2,_xlfn.CONCAT(RIGHT(S$69,2),CHAR(10),LEFT(S$69,4)),Manual!$4:$4)</f>
        <v>-140974.489</v>
      </c>
      <c r="T169" s="425">
        <f>+SUMIF(Manual!$2:$2,_xlfn.CONCAT(RIGHT(T$69,2),CHAR(10),LEFT(T$69,4)),Manual!$4:$4)</f>
        <v>-135295.23800000001</v>
      </c>
      <c r="U169" s="425">
        <f>+SUMIF(Manual!$2:$2,_xlfn.CONCAT(RIGHT(U$69,2),CHAR(10),LEFT(U$69,4)),Manual!$4:$4)</f>
        <v>0</v>
      </c>
      <c r="V169" s="390">
        <f>+SUMIF(Manual!$2:$2,_xlfn.CONCAT(RIGHT(V$69,2),CHAR(10),LEFT(V$69,4)),Manual!$4:$4)</f>
        <v>0</v>
      </c>
    </row>
    <row r="170" spans="1:22">
      <c r="G170" s="253"/>
      <c r="N170" s="253"/>
      <c r="O170" s="297"/>
      <c r="P170" s="253"/>
      <c r="Q170" s="253"/>
      <c r="R170" s="253"/>
      <c r="S170" s="297"/>
      <c r="T170" s="423"/>
      <c r="U170" s="423"/>
      <c r="V170" s="253"/>
    </row>
    <row r="171" spans="1:22">
      <c r="G171" s="253"/>
      <c r="H171" s="896" t="s">
        <v>714</v>
      </c>
      <c r="N171" s="253"/>
      <c r="O171" s="297"/>
      <c r="P171" s="253"/>
      <c r="Q171" s="253"/>
      <c r="R171" s="253"/>
      <c r="S171" s="297"/>
      <c r="T171" s="423"/>
      <c r="U171" s="423"/>
      <c r="V171" s="253"/>
    </row>
    <row r="172" spans="1:22">
      <c r="A172" s="279"/>
      <c r="B172" s="280"/>
      <c r="C172" s="280"/>
      <c r="D172" s="280"/>
      <c r="E172" s="280"/>
      <c r="F172" s="280"/>
      <c r="G172" s="281">
        <v>-1</v>
      </c>
      <c r="H172" s="893" t="str">
        <f>+H56</f>
        <v>General expenses deferred</v>
      </c>
      <c r="I172" s="893"/>
      <c r="J172" s="893"/>
      <c r="K172" s="893"/>
      <c r="L172" s="893"/>
      <c r="M172" s="893"/>
      <c r="N172" s="281">
        <f t="shared" ref="N172:V172" si="93">+SUM(N173:N174)</f>
        <v>-10804.854839997481</v>
      </c>
      <c r="O172" s="282">
        <f t="shared" si="93"/>
        <v>-10883.10765795475</v>
      </c>
      <c r="P172" s="281">
        <f t="shared" si="93"/>
        <v>-11604.771497214981</v>
      </c>
      <c r="Q172" s="281">
        <f t="shared" si="93"/>
        <v>-11234.524652400329</v>
      </c>
      <c r="R172" s="281">
        <f t="shared" si="93"/>
        <v>-10367.961318630549</v>
      </c>
      <c r="S172" s="282">
        <f t="shared" si="93"/>
        <v>-11362.765751374511</v>
      </c>
      <c r="T172" s="420">
        <f t="shared" si="93"/>
        <v>-10958.180667612811</v>
      </c>
      <c r="U172" s="420">
        <f t="shared" si="93"/>
        <v>22264.98169280915</v>
      </c>
      <c r="V172" s="281">
        <f t="shared" si="93"/>
        <v>0</v>
      </c>
    </row>
    <row r="173" spans="1:22">
      <c r="A173" s="283" t="s">
        <v>52</v>
      </c>
      <c r="B173" s="283" t="s">
        <v>50</v>
      </c>
      <c r="C173" s="283" t="s">
        <v>61</v>
      </c>
      <c r="D173" s="283" t="s">
        <v>89</v>
      </c>
      <c r="E173" s="283" t="s">
        <v>129</v>
      </c>
      <c r="F173" s="283"/>
      <c r="G173" s="284">
        <v>-1</v>
      </c>
      <c r="H173" s="145"/>
      <c r="I173" s="145" t="str">
        <f>+RIGHT(D173,LEN(D173)-5)</f>
        <v>Capitalized General Expenses</v>
      </c>
      <c r="J173" s="145"/>
      <c r="K173" s="145"/>
      <c r="L173" s="145"/>
      <c r="M173" s="145"/>
      <c r="N173" s="284">
        <v>-10804.854839997481</v>
      </c>
      <c r="O173" s="285">
        <v>-10883.10765795475</v>
      </c>
      <c r="P173" s="284">
        <v>-11604.771497214981</v>
      </c>
      <c r="Q173" s="284">
        <v>-11234.524652400329</v>
      </c>
      <c r="R173" s="284">
        <v>-10367.961318630549</v>
      </c>
      <c r="S173" s="285">
        <v>-11362.765751374511</v>
      </c>
      <c r="T173" s="421">
        <v>-10958.180667612811</v>
      </c>
      <c r="U173" s="421">
        <v>22264.98169280915</v>
      </c>
      <c r="V173" s="284">
        <v>0</v>
      </c>
    </row>
    <row r="174" spans="1:22">
      <c r="G174" s="253"/>
      <c r="N174" s="253"/>
      <c r="O174" s="297"/>
      <c r="P174" s="253"/>
      <c r="Q174" s="253"/>
      <c r="R174" s="253"/>
      <c r="S174" s="297"/>
      <c r="T174" s="423"/>
      <c r="U174" s="423"/>
      <c r="V174" s="253"/>
    </row>
    <row r="175" spans="1:22">
      <c r="A175" s="279"/>
      <c r="B175" s="280"/>
      <c r="C175" s="280"/>
      <c r="D175" s="280"/>
      <c r="E175" s="280"/>
      <c r="F175" s="280"/>
      <c r="G175" s="281">
        <v>-1</v>
      </c>
      <c r="H175" s="893" t="str">
        <f>+H57</f>
        <v>Commission costs deferred</v>
      </c>
      <c r="I175" s="893"/>
      <c r="J175" s="893"/>
      <c r="K175" s="893"/>
      <c r="L175" s="893"/>
      <c r="M175" s="893"/>
      <c r="N175" s="281">
        <f t="shared" ref="N175:V175" si="94">+SUM(N176:N177)</f>
        <v>-128733.56092839401</v>
      </c>
      <c r="O175" s="282">
        <f t="shared" si="94"/>
        <v>-130161.5369749549</v>
      </c>
      <c r="P175" s="281">
        <f t="shared" si="94"/>
        <v>-126272.23615906147</v>
      </c>
      <c r="Q175" s="281">
        <f t="shared" si="94"/>
        <v>-122849.94471051068</v>
      </c>
      <c r="R175" s="281">
        <f t="shared" si="94"/>
        <v>-120125.14281868073</v>
      </c>
      <c r="S175" s="282">
        <f t="shared" si="94"/>
        <v>-117127.57657293268</v>
      </c>
      <c r="T175" s="420">
        <f t="shared" si="94"/>
        <v>-116729.72252419019</v>
      </c>
      <c r="U175" s="420">
        <f t="shared" si="94"/>
        <v>233515.97910434881</v>
      </c>
      <c r="V175" s="281">
        <f t="shared" si="94"/>
        <v>0</v>
      </c>
    </row>
    <row r="176" spans="1:22">
      <c r="A176" s="283" t="s">
        <v>52</v>
      </c>
      <c r="B176" s="283" t="s">
        <v>50</v>
      </c>
      <c r="C176" s="283" t="s">
        <v>61</v>
      </c>
      <c r="D176" s="283" t="s">
        <v>90</v>
      </c>
      <c r="E176" s="283" t="s">
        <v>129</v>
      </c>
      <c r="F176" s="283"/>
      <c r="G176" s="284">
        <v>-1</v>
      </c>
      <c r="H176" s="145"/>
      <c r="I176" s="145" t="str">
        <f>+RIGHT(D176,LEN(D176)-5)</f>
        <v>Insurance Commissions Deferred</v>
      </c>
      <c r="J176" s="145"/>
      <c r="K176" s="145"/>
      <c r="L176" s="145"/>
      <c r="M176" s="145"/>
      <c r="N176" s="284">
        <v>-128733.56092839401</v>
      </c>
      <c r="O176" s="285">
        <v>-130161.5369749549</v>
      </c>
      <c r="P176" s="284">
        <v>-126272.23615906147</v>
      </c>
      <c r="Q176" s="284">
        <v>-122849.94471051068</v>
      </c>
      <c r="R176" s="284">
        <v>-120125.14281868073</v>
      </c>
      <c r="S176" s="285">
        <v>-117127.57657293268</v>
      </c>
      <c r="T176" s="421">
        <v>-116729.72252419019</v>
      </c>
      <c r="U176" s="421">
        <v>233515.97910434881</v>
      </c>
      <c r="V176" s="284">
        <v>0</v>
      </c>
    </row>
    <row r="177" spans="1:22">
      <c r="G177" s="253"/>
      <c r="N177" s="253"/>
      <c r="O177" s="297"/>
      <c r="P177" s="253"/>
      <c r="Q177" s="253"/>
      <c r="R177" s="253"/>
      <c r="S177" s="297"/>
      <c r="T177" s="423"/>
      <c r="U177" s="423"/>
      <c r="V177" s="253"/>
    </row>
    <row r="178" spans="1:22">
      <c r="A178" s="279"/>
      <c r="B178" s="280"/>
      <c r="C178" s="280"/>
      <c r="D178" s="280"/>
      <c r="E178" s="280"/>
      <c r="F178" s="280"/>
      <c r="G178" s="281">
        <v>-1</v>
      </c>
      <c r="H178" s="893" t="str">
        <f>+H58</f>
        <v>Amortization of deferred policy acquisition costs</v>
      </c>
      <c r="I178" s="893"/>
      <c r="J178" s="893"/>
      <c r="K178" s="893"/>
      <c r="L178" s="893"/>
      <c r="M178" s="893"/>
      <c r="N178" s="281">
        <f t="shared" ref="N178:V178" si="95">+SUM(N179:N179)</f>
        <v>76905.325618658841</v>
      </c>
      <c r="O178" s="282">
        <f t="shared" si="95"/>
        <v>78549.789340624906</v>
      </c>
      <c r="P178" s="281">
        <f t="shared" si="95"/>
        <v>80042.501979026725</v>
      </c>
      <c r="Q178" s="281">
        <f t="shared" si="95"/>
        <v>81498.409397386655</v>
      </c>
      <c r="R178" s="281">
        <f t="shared" si="95"/>
        <v>82812.586776335927</v>
      </c>
      <c r="S178" s="282">
        <f t="shared" si="95"/>
        <v>84259.913227622907</v>
      </c>
      <c r="T178" s="420">
        <f t="shared" si="95"/>
        <v>85127.761220652726</v>
      </c>
      <c r="U178" s="420">
        <f t="shared" si="95"/>
        <v>3739181.875943149</v>
      </c>
      <c r="V178" s="281">
        <f t="shared" si="95"/>
        <v>0</v>
      </c>
    </row>
    <row r="179" spans="1:22">
      <c r="A179" s="283" t="s">
        <v>52</v>
      </c>
      <c r="B179" s="283" t="s">
        <v>50</v>
      </c>
      <c r="C179" s="283" t="s">
        <v>61</v>
      </c>
      <c r="D179" s="283" t="s">
        <v>91</v>
      </c>
      <c r="E179" s="283" t="s">
        <v>129</v>
      </c>
      <c r="F179" s="283"/>
      <c r="G179" s="284">
        <v>-1</v>
      </c>
      <c r="H179" s="145"/>
      <c r="I179" s="145" t="str">
        <f>+RIGHT(D179,LEN(D179)-5)</f>
        <v>Amortization of DAC</v>
      </c>
      <c r="J179" s="145"/>
      <c r="K179" s="145"/>
      <c r="L179" s="145"/>
      <c r="M179" s="145"/>
      <c r="N179" s="284">
        <v>76905.325618658841</v>
      </c>
      <c r="O179" s="285">
        <v>78549.789340624906</v>
      </c>
      <c r="P179" s="284">
        <v>80042.501979026725</v>
      </c>
      <c r="Q179" s="284">
        <v>81498.409397386655</v>
      </c>
      <c r="R179" s="284">
        <v>82812.586776335927</v>
      </c>
      <c r="S179" s="285">
        <v>84259.913227622907</v>
      </c>
      <c r="T179" s="421">
        <v>85127.761220652726</v>
      </c>
      <c r="U179" s="421">
        <v>3739181.875943149</v>
      </c>
      <c r="V179" s="284">
        <v>0</v>
      </c>
    </row>
    <row r="180" spans="1:22">
      <c r="G180" s="253"/>
      <c r="N180" s="253"/>
      <c r="O180" s="253"/>
      <c r="P180" s="253"/>
      <c r="Q180" s="253"/>
      <c r="R180" s="253"/>
      <c r="S180" s="253"/>
      <c r="T180" s="423"/>
      <c r="U180" s="203"/>
      <c r="V180" s="253"/>
    </row>
    <row r="181" spans="1:22">
      <c r="G181" s="253"/>
      <c r="N181" s="253"/>
      <c r="O181" s="253"/>
      <c r="P181" s="253"/>
      <c r="Q181" s="253"/>
      <c r="R181" s="253"/>
      <c r="S181" s="253"/>
      <c r="T181" s="423"/>
      <c r="U181" s="203"/>
      <c r="V181" s="253"/>
    </row>
    <row r="182" spans="1:22">
      <c r="N182" s="253"/>
      <c r="O182" s="253"/>
      <c r="P182" s="253"/>
      <c r="Q182" s="253"/>
      <c r="R182" s="253"/>
      <c r="S182" s="253"/>
      <c r="T182" s="423"/>
      <c r="U182" s="203"/>
      <c r="V182" s="253"/>
    </row>
    <row r="183" spans="1:22">
      <c r="N183" s="253"/>
      <c r="O183" s="253"/>
      <c r="P183" s="253"/>
      <c r="Q183" s="253"/>
      <c r="R183" s="253"/>
      <c r="S183" s="253"/>
      <c r="T183" s="423"/>
      <c r="U183" s="203"/>
      <c r="V183" s="253"/>
    </row>
    <row r="184" spans="1:22">
      <c r="N184" s="253"/>
      <c r="O184" s="253"/>
      <c r="P184" s="253"/>
      <c r="Q184" s="253"/>
      <c r="R184" s="253"/>
      <c r="S184" s="253"/>
      <c r="T184" s="423"/>
      <c r="U184" s="203"/>
      <c r="V184" s="253"/>
    </row>
    <row r="185" spans="1:22">
      <c r="N185" s="253"/>
      <c r="O185" s="253"/>
      <c r="P185" s="253"/>
      <c r="Q185" s="253"/>
      <c r="R185" s="253"/>
      <c r="S185" s="253"/>
      <c r="T185" s="423"/>
      <c r="U185" s="203"/>
      <c r="V185" s="253"/>
    </row>
    <row r="186" spans="1:22">
      <c r="N186" s="253"/>
      <c r="O186" s="253"/>
      <c r="P186" s="253"/>
      <c r="Q186" s="253"/>
      <c r="R186" s="253"/>
      <c r="S186" s="253"/>
      <c r="T186" s="423"/>
      <c r="U186" s="203"/>
      <c r="V186" s="253"/>
    </row>
    <row r="187" spans="1:22">
      <c r="N187" s="253"/>
      <c r="O187" s="253"/>
      <c r="P187" s="253"/>
      <c r="Q187" s="253"/>
      <c r="R187" s="253"/>
      <c r="S187" s="253"/>
      <c r="T187" s="423"/>
      <c r="U187" s="203"/>
      <c r="V187" s="253"/>
    </row>
    <row r="188" spans="1:22">
      <c r="N188" s="253"/>
      <c r="O188" s="253"/>
      <c r="P188" s="253"/>
      <c r="Q188" s="253"/>
      <c r="R188" s="253"/>
      <c r="S188" s="253"/>
      <c r="T188" s="423"/>
      <c r="U188" s="203"/>
      <c r="V188" s="253"/>
    </row>
    <row r="189" spans="1:22">
      <c r="N189" s="253"/>
      <c r="O189" s="253"/>
      <c r="P189" s="253"/>
      <c r="Q189" s="253"/>
      <c r="R189" s="253"/>
      <c r="S189" s="253"/>
      <c r="T189" s="423"/>
      <c r="U189" s="203"/>
      <c r="V189" s="253"/>
    </row>
    <row r="190" spans="1:22">
      <c r="N190" s="253"/>
      <c r="O190" s="253"/>
      <c r="P190" s="253"/>
      <c r="Q190" s="253"/>
      <c r="R190" s="253"/>
      <c r="S190" s="253"/>
      <c r="T190" s="423"/>
      <c r="U190" s="203"/>
      <c r="V190" s="253"/>
    </row>
    <row r="191" spans="1:22">
      <c r="N191" s="253"/>
      <c r="O191" s="253"/>
      <c r="P191" s="253"/>
      <c r="Q191" s="253"/>
      <c r="R191" s="253"/>
      <c r="S191" s="253"/>
      <c r="T191" s="423"/>
      <c r="U191" s="203"/>
      <c r="V191" s="253"/>
    </row>
    <row r="192" spans="1:22">
      <c r="N192" s="253"/>
      <c r="O192" s="253"/>
      <c r="P192" s="253"/>
      <c r="Q192" s="253"/>
      <c r="R192" s="253"/>
      <c r="S192" s="253"/>
      <c r="T192" s="423"/>
      <c r="U192" s="203"/>
      <c r="V192" s="253"/>
    </row>
    <row r="193" spans="14:22">
      <c r="N193" s="253"/>
      <c r="O193" s="253"/>
      <c r="P193" s="253"/>
      <c r="Q193" s="253"/>
      <c r="R193" s="253"/>
      <c r="S193" s="253"/>
      <c r="T193" s="423"/>
      <c r="U193" s="203"/>
      <c r="V193" s="253"/>
    </row>
    <row r="194" spans="14:22">
      <c r="N194" s="253"/>
      <c r="O194" s="253"/>
      <c r="P194" s="253"/>
      <c r="Q194" s="253"/>
      <c r="R194" s="253"/>
      <c r="S194" s="253"/>
      <c r="T194" s="423"/>
      <c r="U194" s="203"/>
      <c r="V194" s="253"/>
    </row>
    <row r="195" spans="14:22">
      <c r="N195" s="253"/>
      <c r="O195" s="253"/>
      <c r="P195" s="253"/>
      <c r="Q195" s="253"/>
      <c r="R195" s="253"/>
      <c r="S195" s="253"/>
      <c r="T195" s="423"/>
      <c r="U195" s="203"/>
      <c r="V195" s="253"/>
    </row>
    <row r="196" spans="14:22">
      <c r="N196" s="253"/>
      <c r="O196" s="253"/>
      <c r="P196" s="253"/>
      <c r="Q196" s="253"/>
      <c r="R196" s="253"/>
      <c r="S196" s="253"/>
      <c r="T196" s="423"/>
      <c r="U196" s="203"/>
      <c r="V196" s="253"/>
    </row>
    <row r="197" spans="14:22">
      <c r="N197" s="253"/>
      <c r="O197" s="253"/>
      <c r="P197" s="253"/>
      <c r="Q197" s="253"/>
      <c r="R197" s="253"/>
      <c r="S197" s="253"/>
      <c r="T197" s="423"/>
      <c r="U197" s="203"/>
      <c r="V197" s="253"/>
    </row>
    <row r="198" spans="14:22">
      <c r="N198" s="253"/>
      <c r="O198" s="253"/>
      <c r="P198" s="253"/>
      <c r="Q198" s="253"/>
      <c r="R198" s="253"/>
      <c r="S198" s="253"/>
      <c r="T198" s="423"/>
      <c r="U198" s="203"/>
      <c r="V198" s="253"/>
    </row>
    <row r="199" spans="14:22">
      <c r="N199" s="253"/>
      <c r="O199" s="253"/>
      <c r="P199" s="253"/>
      <c r="Q199" s="253"/>
      <c r="R199" s="253"/>
      <c r="S199" s="253"/>
      <c r="T199" s="423"/>
      <c r="U199" s="203"/>
      <c r="V199" s="253"/>
    </row>
    <row r="200" spans="14:22">
      <c r="N200" s="253"/>
      <c r="O200" s="253"/>
      <c r="P200" s="253"/>
      <c r="Q200" s="253"/>
      <c r="R200" s="253"/>
      <c r="S200" s="253"/>
      <c r="T200" s="423"/>
      <c r="U200" s="203"/>
      <c r="V200" s="253"/>
    </row>
    <row r="201" spans="14:22">
      <c r="N201" s="253"/>
      <c r="O201" s="253"/>
      <c r="P201" s="253"/>
      <c r="Q201" s="253"/>
      <c r="R201" s="253"/>
      <c r="S201" s="253"/>
      <c r="T201" s="423"/>
      <c r="U201" s="203"/>
      <c r="V201" s="253"/>
    </row>
    <row r="202" spans="14:22">
      <c r="N202" s="253"/>
      <c r="O202" s="253"/>
      <c r="P202" s="253"/>
      <c r="Q202" s="253"/>
      <c r="R202" s="253"/>
      <c r="S202" s="253"/>
      <c r="T202" s="423"/>
      <c r="U202" s="203"/>
      <c r="V202" s="253"/>
    </row>
    <row r="203" spans="14:22">
      <c r="N203" s="253"/>
      <c r="O203" s="253"/>
      <c r="P203" s="253"/>
      <c r="Q203" s="253"/>
      <c r="R203" s="253"/>
      <c r="S203" s="253"/>
      <c r="T203" s="423"/>
      <c r="U203" s="203"/>
      <c r="V203" s="253"/>
    </row>
    <row r="204" spans="14:22">
      <c r="N204" s="253"/>
      <c r="O204" s="253"/>
      <c r="P204" s="253"/>
      <c r="Q204" s="253"/>
      <c r="R204" s="253"/>
      <c r="S204" s="253"/>
      <c r="T204" s="423"/>
      <c r="U204" s="203"/>
      <c r="V204" s="253"/>
    </row>
    <row r="205" spans="14:22">
      <c r="N205" s="253"/>
      <c r="O205" s="253"/>
      <c r="P205" s="253"/>
      <c r="Q205" s="253"/>
      <c r="R205" s="253"/>
      <c r="S205" s="253"/>
      <c r="T205" s="423"/>
      <c r="U205" s="203"/>
      <c r="V205" s="253"/>
    </row>
    <row r="206" spans="14:22">
      <c r="N206" s="253"/>
      <c r="O206" s="253"/>
      <c r="P206" s="253"/>
      <c r="Q206" s="253"/>
      <c r="R206" s="253"/>
      <c r="S206" s="253"/>
      <c r="T206" s="423"/>
      <c r="U206" s="203"/>
      <c r="V206" s="253"/>
    </row>
    <row r="207" spans="14:22">
      <c r="N207" s="253"/>
      <c r="O207" s="253"/>
      <c r="P207" s="253"/>
      <c r="Q207" s="253"/>
      <c r="R207" s="253"/>
      <c r="S207" s="253"/>
      <c r="T207" s="423"/>
      <c r="U207" s="203"/>
      <c r="V207" s="253"/>
    </row>
    <row r="208" spans="14:22">
      <c r="N208" s="253"/>
      <c r="O208" s="253"/>
      <c r="P208" s="253"/>
      <c r="Q208" s="253"/>
      <c r="R208" s="253"/>
      <c r="S208" s="253"/>
      <c r="T208" s="423"/>
      <c r="U208" s="203"/>
      <c r="V208" s="253"/>
    </row>
    <row r="209" spans="14:22">
      <c r="N209" s="253"/>
      <c r="O209" s="253"/>
      <c r="P209" s="253"/>
      <c r="Q209" s="253"/>
      <c r="R209" s="253"/>
      <c r="S209" s="253"/>
      <c r="T209" s="423"/>
      <c r="U209" s="203"/>
      <c r="V209" s="253"/>
    </row>
    <row r="210" spans="14:22">
      <c r="N210" s="253"/>
      <c r="O210" s="253"/>
      <c r="P210" s="253"/>
      <c r="Q210" s="253"/>
      <c r="R210" s="253"/>
      <c r="S210" s="253"/>
      <c r="T210" s="423"/>
      <c r="U210" s="203"/>
      <c r="V210" s="253"/>
    </row>
    <row r="211" spans="14:22">
      <c r="N211" s="253"/>
      <c r="O211" s="253"/>
      <c r="P211" s="253"/>
      <c r="Q211" s="253"/>
      <c r="R211" s="253"/>
      <c r="S211" s="253"/>
      <c r="T211" s="423"/>
      <c r="U211" s="203"/>
      <c r="V211" s="253"/>
    </row>
    <row r="212" spans="14:22">
      <c r="N212" s="253"/>
      <c r="O212" s="253"/>
      <c r="P212" s="253"/>
      <c r="Q212" s="253"/>
      <c r="R212" s="253"/>
      <c r="S212" s="253"/>
      <c r="T212" s="423"/>
      <c r="U212" s="203"/>
      <c r="V212" s="253"/>
    </row>
    <row r="213" spans="14:22">
      <c r="N213" s="253"/>
      <c r="O213" s="253"/>
      <c r="P213" s="253"/>
      <c r="Q213" s="253"/>
      <c r="R213" s="253"/>
      <c r="S213" s="253"/>
      <c r="T213" s="423"/>
      <c r="U213" s="203"/>
      <c r="V213" s="253"/>
    </row>
    <row r="214" spans="14:22">
      <c r="N214" s="253"/>
      <c r="O214" s="253"/>
      <c r="P214" s="253"/>
      <c r="Q214" s="253"/>
      <c r="R214" s="253"/>
      <c r="S214" s="253"/>
      <c r="T214" s="423"/>
      <c r="U214" s="203"/>
      <c r="V214" s="253"/>
    </row>
    <row r="215" spans="14:22">
      <c r="N215" s="253"/>
      <c r="O215" s="253"/>
      <c r="P215" s="253"/>
      <c r="Q215" s="253"/>
      <c r="R215" s="253"/>
      <c r="S215" s="253"/>
      <c r="T215" s="423"/>
      <c r="U215" s="203"/>
      <c r="V215" s="253"/>
    </row>
    <row r="216" spans="14:22">
      <c r="N216" s="253"/>
      <c r="O216" s="253"/>
      <c r="P216" s="253"/>
      <c r="Q216" s="253"/>
      <c r="R216" s="253"/>
      <c r="S216" s="253"/>
      <c r="T216" s="423"/>
      <c r="U216" s="203"/>
      <c r="V216" s="253"/>
    </row>
    <row r="217" spans="14:22">
      <c r="N217" s="253"/>
      <c r="O217" s="253"/>
      <c r="P217" s="253"/>
      <c r="Q217" s="253"/>
      <c r="R217" s="253"/>
      <c r="S217" s="253"/>
      <c r="T217" s="423"/>
      <c r="U217" s="203"/>
      <c r="V217" s="253"/>
    </row>
    <row r="218" spans="14:22">
      <c r="N218" s="253"/>
      <c r="O218" s="253"/>
      <c r="P218" s="253"/>
      <c r="Q218" s="253"/>
      <c r="R218" s="253"/>
      <c r="S218" s="253"/>
      <c r="T218" s="423"/>
      <c r="U218" s="203"/>
      <c r="V218" s="253"/>
    </row>
    <row r="219" spans="14:22">
      <c r="N219" s="253"/>
      <c r="O219" s="253"/>
      <c r="P219" s="253"/>
      <c r="Q219" s="253"/>
      <c r="R219" s="253"/>
      <c r="S219" s="253"/>
      <c r="T219" s="423"/>
      <c r="U219" s="203"/>
      <c r="V219" s="253"/>
    </row>
    <row r="220" spans="14:22">
      <c r="N220" s="253"/>
      <c r="O220" s="253"/>
      <c r="P220" s="253"/>
      <c r="Q220" s="253"/>
      <c r="R220" s="253"/>
      <c r="S220" s="253"/>
      <c r="T220" s="423"/>
      <c r="U220" s="203"/>
      <c r="V220" s="253"/>
    </row>
    <row r="221" spans="14:22">
      <c r="N221" s="253"/>
      <c r="O221" s="253"/>
      <c r="P221" s="253"/>
      <c r="Q221" s="253"/>
      <c r="R221" s="253"/>
      <c r="S221" s="253"/>
      <c r="T221" s="423"/>
      <c r="U221" s="203"/>
      <c r="V221" s="253"/>
    </row>
    <row r="222" spans="14:22">
      <c r="N222" s="253"/>
      <c r="O222" s="253"/>
      <c r="P222" s="253"/>
      <c r="Q222" s="253"/>
      <c r="R222" s="253"/>
      <c r="S222" s="253"/>
      <c r="T222" s="423"/>
      <c r="U222" s="203"/>
      <c r="V222" s="253"/>
    </row>
    <row r="223" spans="14:22">
      <c r="N223" s="253"/>
      <c r="O223" s="253"/>
      <c r="P223" s="253"/>
      <c r="Q223" s="253"/>
      <c r="R223" s="253"/>
      <c r="S223" s="253"/>
      <c r="T223" s="423"/>
      <c r="U223" s="203"/>
      <c r="V223" s="253"/>
    </row>
    <row r="224" spans="14:22">
      <c r="N224" s="253"/>
      <c r="O224" s="253"/>
      <c r="P224" s="253"/>
      <c r="Q224" s="253"/>
      <c r="R224" s="253"/>
      <c r="S224" s="253"/>
      <c r="T224" s="423"/>
      <c r="U224" s="203"/>
      <c r="V224" s="253"/>
    </row>
    <row r="225" spans="14:22">
      <c r="N225" s="253"/>
      <c r="O225" s="253"/>
      <c r="P225" s="253"/>
      <c r="Q225" s="253"/>
      <c r="R225" s="253"/>
      <c r="S225" s="253"/>
      <c r="T225" s="423"/>
      <c r="U225" s="203"/>
      <c r="V225" s="253"/>
    </row>
    <row r="226" spans="14:22">
      <c r="N226" s="253"/>
      <c r="O226" s="253"/>
      <c r="P226" s="253"/>
      <c r="Q226" s="253"/>
      <c r="R226" s="253"/>
      <c r="S226" s="253"/>
      <c r="T226" s="423"/>
      <c r="U226" s="203"/>
      <c r="V226" s="253"/>
    </row>
    <row r="227" spans="14:22">
      <c r="N227" s="253"/>
      <c r="O227" s="253"/>
      <c r="P227" s="253"/>
      <c r="Q227" s="253"/>
      <c r="R227" s="253"/>
      <c r="S227" s="253"/>
      <c r="T227" s="423"/>
      <c r="U227" s="203"/>
      <c r="V227" s="253"/>
    </row>
    <row r="228" spans="14:22">
      <c r="N228" s="253"/>
      <c r="O228" s="253"/>
      <c r="P228" s="253"/>
      <c r="Q228" s="253"/>
      <c r="R228" s="253"/>
      <c r="S228" s="253"/>
      <c r="T228" s="423"/>
      <c r="U228" s="203"/>
      <c r="V228" s="253"/>
    </row>
    <row r="229" spans="14:22">
      <c r="N229" s="253"/>
      <c r="O229" s="253"/>
      <c r="P229" s="253"/>
      <c r="Q229" s="253"/>
      <c r="R229" s="253"/>
      <c r="S229" s="253"/>
      <c r="T229" s="423"/>
      <c r="U229" s="203"/>
      <c r="V229" s="253"/>
    </row>
    <row r="230" spans="14:22">
      <c r="N230" s="253"/>
      <c r="O230" s="253"/>
      <c r="P230" s="253"/>
      <c r="Q230" s="253"/>
      <c r="R230" s="253"/>
      <c r="S230" s="253"/>
      <c r="T230" s="423"/>
      <c r="U230" s="203"/>
      <c r="V230" s="253"/>
    </row>
    <row r="231" spans="14:22">
      <c r="N231" s="253"/>
      <c r="O231" s="253"/>
      <c r="P231" s="253"/>
      <c r="Q231" s="253"/>
      <c r="R231" s="253"/>
      <c r="S231" s="253"/>
      <c r="T231" s="423"/>
      <c r="U231" s="203"/>
      <c r="V231" s="253"/>
    </row>
    <row r="232" spans="14:22">
      <c r="N232" s="253"/>
      <c r="O232" s="253"/>
      <c r="P232" s="253"/>
      <c r="Q232" s="253"/>
      <c r="R232" s="253"/>
      <c r="S232" s="253"/>
      <c r="T232" s="423"/>
      <c r="U232" s="203"/>
      <c r="V232" s="253"/>
    </row>
    <row r="233" spans="14:22">
      <c r="N233" s="253"/>
      <c r="O233" s="253"/>
      <c r="P233" s="253"/>
      <c r="Q233" s="253"/>
      <c r="R233" s="253"/>
      <c r="S233" s="253"/>
      <c r="T233" s="423"/>
      <c r="U233" s="203"/>
      <c r="V233" s="253"/>
    </row>
    <row r="234" spans="14:22">
      <c r="N234" s="253"/>
      <c r="O234" s="253"/>
      <c r="P234" s="253"/>
      <c r="Q234" s="253"/>
      <c r="R234" s="253"/>
      <c r="S234" s="253"/>
      <c r="T234" s="423"/>
      <c r="U234" s="203"/>
      <c r="V234" s="253"/>
    </row>
    <row r="235" spans="14:22">
      <c r="N235" s="253"/>
      <c r="O235" s="253"/>
      <c r="P235" s="253"/>
      <c r="Q235" s="253"/>
      <c r="R235" s="253"/>
      <c r="S235" s="253"/>
      <c r="T235" s="423"/>
      <c r="U235" s="203"/>
      <c r="V235" s="253"/>
    </row>
    <row r="236" spans="14:22">
      <c r="N236" s="253"/>
      <c r="O236" s="253"/>
      <c r="P236" s="253"/>
      <c r="Q236" s="253"/>
      <c r="R236" s="253"/>
      <c r="S236" s="253"/>
      <c r="T236" s="423"/>
      <c r="U236" s="203"/>
      <c r="V236" s="253"/>
    </row>
    <row r="237" spans="14:22">
      <c r="N237" s="253"/>
      <c r="O237" s="253"/>
      <c r="P237" s="253"/>
      <c r="Q237" s="253"/>
      <c r="R237" s="253"/>
      <c r="S237" s="253"/>
      <c r="T237" s="423"/>
      <c r="U237" s="203"/>
      <c r="V237" s="253"/>
    </row>
    <row r="238" spans="14:22">
      <c r="N238" s="253"/>
      <c r="O238" s="253"/>
      <c r="P238" s="253"/>
      <c r="Q238" s="253"/>
      <c r="R238" s="253"/>
      <c r="S238" s="253"/>
      <c r="T238" s="423"/>
      <c r="U238" s="203"/>
      <c r="V238" s="253"/>
    </row>
    <row r="239" spans="14:22">
      <c r="N239" s="253"/>
      <c r="O239" s="253"/>
      <c r="P239" s="253"/>
      <c r="Q239" s="253"/>
      <c r="R239" s="253"/>
      <c r="S239" s="253"/>
      <c r="T239" s="423"/>
      <c r="U239" s="203"/>
      <c r="V239" s="253"/>
    </row>
    <row r="240" spans="14:22">
      <c r="N240" s="253"/>
      <c r="O240" s="253"/>
      <c r="P240" s="253"/>
      <c r="Q240" s="253"/>
      <c r="R240" s="253"/>
      <c r="S240" s="253"/>
      <c r="T240" s="423"/>
      <c r="U240" s="203"/>
      <c r="V240" s="253"/>
    </row>
    <row r="241" spans="14:22">
      <c r="N241" s="253"/>
      <c r="O241" s="253"/>
      <c r="P241" s="253"/>
      <c r="Q241" s="253"/>
      <c r="R241" s="253"/>
      <c r="S241" s="253"/>
      <c r="T241" s="423"/>
      <c r="U241" s="203"/>
      <c r="V241" s="253"/>
    </row>
    <row r="242" spans="14:22">
      <c r="N242" s="253"/>
      <c r="O242" s="253"/>
      <c r="P242" s="253"/>
      <c r="Q242" s="253"/>
      <c r="R242" s="253"/>
      <c r="S242" s="253"/>
      <c r="T242" s="423"/>
      <c r="U242" s="203"/>
      <c r="V242" s="253"/>
    </row>
    <row r="243" spans="14:22">
      <c r="N243" s="253"/>
      <c r="O243" s="253"/>
      <c r="P243" s="253"/>
      <c r="Q243" s="253"/>
      <c r="R243" s="253"/>
      <c r="S243" s="253"/>
      <c r="T243" s="423"/>
      <c r="U243" s="203"/>
      <c r="V243" s="253"/>
    </row>
    <row r="244" spans="14:22">
      <c r="N244" s="253"/>
      <c r="O244" s="253"/>
      <c r="P244" s="253"/>
      <c r="Q244" s="253"/>
      <c r="R244" s="253"/>
      <c r="S244" s="253"/>
      <c r="T244" s="423"/>
      <c r="U244" s="203"/>
      <c r="V244" s="253"/>
    </row>
    <row r="245" spans="14:22">
      <c r="N245" s="253"/>
      <c r="O245" s="253"/>
      <c r="P245" s="253"/>
      <c r="Q245" s="253"/>
      <c r="R245" s="253"/>
      <c r="S245" s="253"/>
      <c r="T245" s="423"/>
      <c r="U245" s="203"/>
      <c r="V245" s="253"/>
    </row>
    <row r="246" spans="14:22">
      <c r="N246" s="253"/>
      <c r="O246" s="253"/>
      <c r="P246" s="253"/>
      <c r="Q246" s="253"/>
      <c r="R246" s="253"/>
      <c r="S246" s="253"/>
      <c r="T246" s="423"/>
      <c r="U246" s="203"/>
      <c r="V246" s="253"/>
    </row>
    <row r="247" spans="14:22">
      <c r="N247" s="253"/>
      <c r="O247" s="253"/>
      <c r="P247" s="253"/>
      <c r="Q247" s="253"/>
      <c r="R247" s="253"/>
      <c r="S247" s="253"/>
      <c r="T247" s="423"/>
      <c r="U247" s="203"/>
      <c r="V247" s="253"/>
    </row>
    <row r="248" spans="14:22">
      <c r="N248" s="253"/>
      <c r="O248" s="253"/>
      <c r="P248" s="253"/>
      <c r="Q248" s="253"/>
      <c r="R248" s="253"/>
      <c r="S248" s="253"/>
      <c r="T248" s="423"/>
      <c r="U248" s="203"/>
      <c r="V248" s="253"/>
    </row>
    <row r="249" spans="14:22">
      <c r="N249" s="253"/>
      <c r="O249" s="253"/>
      <c r="P249" s="253"/>
      <c r="Q249" s="253"/>
      <c r="R249" s="253"/>
      <c r="S249" s="253"/>
      <c r="T249" s="423"/>
      <c r="U249" s="203"/>
      <c r="V249" s="253"/>
    </row>
    <row r="250" spans="14:22">
      <c r="N250" s="253"/>
      <c r="O250" s="253"/>
      <c r="P250" s="253"/>
      <c r="Q250" s="253"/>
      <c r="R250" s="253"/>
      <c r="S250" s="253"/>
      <c r="T250" s="423"/>
      <c r="U250" s="203"/>
      <c r="V250" s="253"/>
    </row>
    <row r="251" spans="14:22">
      <c r="N251" s="253"/>
      <c r="O251" s="253"/>
      <c r="P251" s="253"/>
      <c r="Q251" s="253"/>
      <c r="R251" s="253"/>
      <c r="S251" s="253"/>
      <c r="T251" s="423"/>
      <c r="U251" s="203"/>
      <c r="V251" s="253"/>
    </row>
    <row r="252" spans="14:22">
      <c r="N252" s="253"/>
      <c r="O252" s="253"/>
      <c r="P252" s="253"/>
      <c r="Q252" s="253"/>
      <c r="R252" s="253"/>
      <c r="S252" s="253"/>
      <c r="T252" s="423"/>
      <c r="U252" s="203"/>
      <c r="V252" s="253"/>
    </row>
    <row r="253" spans="14:22">
      <c r="N253" s="253"/>
      <c r="O253" s="253"/>
      <c r="P253" s="253"/>
      <c r="Q253" s="253"/>
      <c r="R253" s="253"/>
      <c r="S253" s="253"/>
      <c r="T253" s="423"/>
      <c r="U253" s="203"/>
      <c r="V253" s="253"/>
    </row>
    <row r="254" spans="14:22">
      <c r="N254" s="253"/>
      <c r="O254" s="253"/>
      <c r="P254" s="253"/>
      <c r="Q254" s="253"/>
      <c r="R254" s="253"/>
      <c r="S254" s="253"/>
      <c r="T254" s="423"/>
      <c r="U254" s="203"/>
      <c r="V254" s="253"/>
    </row>
    <row r="255" spans="14:22">
      <c r="N255" s="253"/>
      <c r="O255" s="253"/>
      <c r="P255" s="253"/>
      <c r="Q255" s="253"/>
      <c r="R255" s="253"/>
      <c r="S255" s="253"/>
      <c r="T255" s="423"/>
      <c r="U255" s="203"/>
      <c r="V255" s="253"/>
    </row>
    <row r="256" spans="14:22">
      <c r="N256" s="253"/>
      <c r="O256" s="253"/>
      <c r="P256" s="253"/>
      <c r="Q256" s="253"/>
      <c r="R256" s="253"/>
      <c r="S256" s="253"/>
      <c r="T256" s="423"/>
      <c r="U256" s="203"/>
      <c r="V256" s="253"/>
    </row>
    <row r="257" spans="14:22">
      <c r="N257" s="253"/>
      <c r="O257" s="253"/>
      <c r="P257" s="253"/>
      <c r="Q257" s="253"/>
      <c r="R257" s="253"/>
      <c r="S257" s="253"/>
      <c r="T257" s="423"/>
      <c r="U257" s="203"/>
      <c r="V257" s="253"/>
    </row>
    <row r="258" spans="14:22">
      <c r="N258" s="253"/>
      <c r="O258" s="253"/>
      <c r="P258" s="253"/>
      <c r="Q258" s="253"/>
      <c r="R258" s="253"/>
      <c r="S258" s="253"/>
      <c r="T258" s="423"/>
      <c r="U258" s="203"/>
      <c r="V258" s="253"/>
    </row>
    <row r="259" spans="14:22">
      <c r="N259" s="253"/>
      <c r="O259" s="253"/>
      <c r="P259" s="253"/>
      <c r="Q259" s="253"/>
      <c r="R259" s="253"/>
      <c r="S259" s="253"/>
      <c r="T259" s="423"/>
      <c r="U259" s="203"/>
      <c r="V259" s="253"/>
    </row>
    <row r="260" spans="14:22">
      <c r="N260" s="253"/>
      <c r="O260" s="253"/>
      <c r="P260" s="253"/>
      <c r="Q260" s="253"/>
      <c r="R260" s="253"/>
      <c r="S260" s="253"/>
      <c r="T260" s="423"/>
      <c r="U260" s="203"/>
      <c r="V260" s="253"/>
    </row>
    <row r="261" spans="14:22">
      <c r="N261" s="253"/>
      <c r="O261" s="253"/>
      <c r="P261" s="253"/>
      <c r="Q261" s="253"/>
      <c r="R261" s="253"/>
      <c r="S261" s="253"/>
      <c r="T261" s="423"/>
      <c r="U261" s="203"/>
      <c r="V261" s="253"/>
    </row>
    <row r="262" spans="14:22">
      <c r="N262" s="253"/>
      <c r="O262" s="253"/>
      <c r="P262" s="253"/>
      <c r="Q262" s="253"/>
      <c r="R262" s="253"/>
      <c r="S262" s="253"/>
      <c r="T262" s="423"/>
      <c r="U262" s="203"/>
      <c r="V262" s="253"/>
    </row>
    <row r="263" spans="14:22">
      <c r="N263" s="253"/>
      <c r="O263" s="253"/>
      <c r="P263" s="253"/>
      <c r="Q263" s="253"/>
      <c r="R263" s="253"/>
      <c r="S263" s="253"/>
      <c r="T263" s="423"/>
      <c r="U263" s="203"/>
      <c r="V263" s="253"/>
    </row>
    <row r="264" spans="14:22">
      <c r="N264" s="253"/>
      <c r="O264" s="253"/>
      <c r="P264" s="253"/>
      <c r="Q264" s="253"/>
      <c r="R264" s="253"/>
      <c r="S264" s="253"/>
      <c r="T264" s="423"/>
      <c r="U264" s="203"/>
      <c r="V264" s="253"/>
    </row>
    <row r="265" spans="14:22">
      <c r="N265" s="253"/>
      <c r="O265" s="253"/>
      <c r="P265" s="253"/>
      <c r="Q265" s="253"/>
      <c r="R265" s="253"/>
      <c r="S265" s="253"/>
      <c r="T265" s="423"/>
      <c r="U265" s="203"/>
      <c r="V265" s="253"/>
    </row>
    <row r="266" spans="14:22">
      <c r="N266" s="253"/>
      <c r="O266" s="253"/>
      <c r="P266" s="253"/>
      <c r="Q266" s="253"/>
      <c r="R266" s="253"/>
      <c r="S266" s="253"/>
      <c r="T266" s="423"/>
      <c r="U266" s="203"/>
      <c r="V266" s="253"/>
    </row>
    <row r="267" spans="14:22">
      <c r="N267" s="253"/>
      <c r="O267" s="253"/>
      <c r="P267" s="253"/>
      <c r="Q267" s="253"/>
      <c r="R267" s="253"/>
      <c r="S267" s="253"/>
      <c r="T267" s="423"/>
      <c r="U267" s="203"/>
      <c r="V267" s="253"/>
    </row>
    <row r="268" spans="14:22">
      <c r="N268" s="253"/>
      <c r="O268" s="253"/>
      <c r="P268" s="253"/>
      <c r="Q268" s="253"/>
      <c r="R268" s="253"/>
      <c r="S268" s="253"/>
      <c r="T268" s="423"/>
      <c r="U268" s="203"/>
      <c r="V268" s="253"/>
    </row>
    <row r="269" spans="14:22">
      <c r="N269" s="253"/>
      <c r="O269" s="253"/>
      <c r="P269" s="253"/>
      <c r="Q269" s="253"/>
      <c r="R269" s="253"/>
      <c r="S269" s="253"/>
      <c r="T269" s="423"/>
      <c r="U269" s="203"/>
      <c r="V269" s="253"/>
    </row>
    <row r="270" spans="14:22">
      <c r="N270" s="253"/>
      <c r="O270" s="253"/>
      <c r="P270" s="253"/>
      <c r="Q270" s="253"/>
      <c r="R270" s="253"/>
      <c r="S270" s="253"/>
      <c r="T270" s="423"/>
      <c r="U270" s="203"/>
      <c r="V270" s="253"/>
    </row>
    <row r="271" spans="14:22">
      <c r="N271" s="253"/>
      <c r="O271" s="253"/>
      <c r="P271" s="253"/>
      <c r="Q271" s="253"/>
      <c r="R271" s="253"/>
      <c r="S271" s="253"/>
      <c r="T271" s="423"/>
      <c r="U271" s="203"/>
      <c r="V271" s="253"/>
    </row>
    <row r="272" spans="14:22">
      <c r="N272" s="253"/>
      <c r="O272" s="253"/>
      <c r="P272" s="253"/>
      <c r="Q272" s="253"/>
      <c r="R272" s="253"/>
      <c r="S272" s="253"/>
      <c r="T272" s="423"/>
      <c r="U272" s="203"/>
      <c r="V272" s="253"/>
    </row>
    <row r="273" spans="14:22">
      <c r="N273" s="253"/>
      <c r="O273" s="253"/>
      <c r="P273" s="253"/>
      <c r="Q273" s="253"/>
      <c r="R273" s="253"/>
      <c r="S273" s="253"/>
      <c r="T273" s="423"/>
      <c r="U273" s="203"/>
      <c r="V273" s="253"/>
    </row>
    <row r="274" spans="14:22">
      <c r="N274" s="253"/>
      <c r="O274" s="253"/>
      <c r="P274" s="253"/>
      <c r="Q274" s="253"/>
      <c r="R274" s="253"/>
      <c r="S274" s="253"/>
      <c r="T274" s="423"/>
      <c r="U274" s="203"/>
      <c r="V274" s="253"/>
    </row>
    <row r="275" spans="14:22">
      <c r="N275" s="253"/>
      <c r="O275" s="253"/>
      <c r="P275" s="253"/>
      <c r="Q275" s="253"/>
      <c r="R275" s="253"/>
      <c r="S275" s="253"/>
      <c r="T275" s="423"/>
      <c r="U275" s="203"/>
      <c r="V275" s="253"/>
    </row>
    <row r="276" spans="14:22">
      <c r="N276" s="253"/>
      <c r="O276" s="253"/>
      <c r="P276" s="253"/>
      <c r="Q276" s="253"/>
      <c r="R276" s="253"/>
      <c r="S276" s="253"/>
      <c r="T276" s="423"/>
      <c r="U276" s="203"/>
      <c r="V276" s="253"/>
    </row>
    <row r="277" spans="14:22">
      <c r="N277" s="253"/>
      <c r="O277" s="253"/>
      <c r="P277" s="253"/>
      <c r="Q277" s="253"/>
      <c r="R277" s="253"/>
      <c r="S277" s="253"/>
      <c r="T277" s="423"/>
      <c r="U277" s="203"/>
      <c r="V277" s="253"/>
    </row>
    <row r="278" spans="14:22">
      <c r="N278" s="253"/>
      <c r="O278" s="253"/>
      <c r="P278" s="253"/>
      <c r="Q278" s="253"/>
      <c r="R278" s="253"/>
      <c r="S278" s="253"/>
      <c r="T278" s="423"/>
      <c r="U278" s="203"/>
      <c r="V278" s="253"/>
    </row>
    <row r="279" spans="14:22">
      <c r="N279" s="253"/>
      <c r="O279" s="253"/>
      <c r="P279" s="253"/>
      <c r="Q279" s="253"/>
      <c r="R279" s="253"/>
      <c r="S279" s="253"/>
      <c r="T279" s="423"/>
      <c r="U279" s="203"/>
      <c r="V279" s="253"/>
    </row>
    <row r="280" spans="14:22">
      <c r="N280" s="253"/>
      <c r="O280" s="253"/>
      <c r="P280" s="253"/>
      <c r="Q280" s="253"/>
      <c r="R280" s="253"/>
      <c r="S280" s="253"/>
      <c r="T280" s="423"/>
      <c r="U280" s="203"/>
      <c r="V280" s="253"/>
    </row>
    <row r="281" spans="14:22">
      <c r="N281" s="253"/>
      <c r="O281" s="253"/>
      <c r="P281" s="253"/>
      <c r="Q281" s="253"/>
      <c r="R281" s="253"/>
      <c r="S281" s="253"/>
      <c r="T281" s="423"/>
      <c r="U281" s="203"/>
      <c r="V281" s="253"/>
    </row>
    <row r="282" spans="14:22">
      <c r="N282" s="253"/>
      <c r="O282" s="253"/>
      <c r="P282" s="253"/>
      <c r="Q282" s="253"/>
      <c r="R282" s="253"/>
      <c r="S282" s="253"/>
      <c r="T282" s="423"/>
      <c r="U282" s="203"/>
      <c r="V282" s="253"/>
    </row>
    <row r="283" spans="14:22">
      <c r="N283" s="253"/>
      <c r="O283" s="253"/>
      <c r="P283" s="253"/>
      <c r="Q283" s="253"/>
      <c r="R283" s="253"/>
      <c r="S283" s="253"/>
      <c r="T283" s="423"/>
      <c r="U283" s="203"/>
      <c r="V283" s="253"/>
    </row>
    <row r="284" spans="14:22">
      <c r="N284" s="253"/>
      <c r="O284" s="253"/>
      <c r="P284" s="253"/>
      <c r="Q284" s="253"/>
      <c r="R284" s="253"/>
      <c r="S284" s="253"/>
      <c r="T284" s="423"/>
      <c r="U284" s="203"/>
      <c r="V284" s="253"/>
    </row>
    <row r="285" spans="14:22">
      <c r="N285" s="253"/>
      <c r="O285" s="253"/>
      <c r="P285" s="253"/>
      <c r="Q285" s="253"/>
      <c r="R285" s="253"/>
      <c r="S285" s="253"/>
      <c r="T285" s="423"/>
      <c r="U285" s="203"/>
      <c r="V285" s="253"/>
    </row>
    <row r="286" spans="14:22">
      <c r="N286" s="253"/>
      <c r="O286" s="253"/>
      <c r="P286" s="253"/>
      <c r="Q286" s="253"/>
      <c r="R286" s="253"/>
      <c r="S286" s="253"/>
      <c r="T286" s="423"/>
      <c r="U286" s="203"/>
      <c r="V286" s="253"/>
    </row>
    <row r="287" spans="14:22">
      <c r="N287" s="253"/>
      <c r="O287" s="253"/>
      <c r="P287" s="253"/>
      <c r="Q287" s="253"/>
      <c r="R287" s="253"/>
      <c r="S287" s="253"/>
      <c r="T287" s="423"/>
      <c r="U287" s="203"/>
      <c r="V287" s="253"/>
    </row>
    <row r="288" spans="14:22">
      <c r="N288" s="253"/>
      <c r="O288" s="253"/>
      <c r="P288" s="253"/>
      <c r="Q288" s="253"/>
      <c r="R288" s="253"/>
      <c r="S288" s="253"/>
      <c r="T288" s="423"/>
      <c r="U288" s="203"/>
      <c r="V288" s="253"/>
    </row>
    <row r="289" spans="14:22">
      <c r="N289" s="253"/>
      <c r="O289" s="253"/>
      <c r="P289" s="253"/>
      <c r="Q289" s="253"/>
      <c r="R289" s="253"/>
      <c r="S289" s="253"/>
      <c r="T289" s="423"/>
      <c r="U289" s="203"/>
      <c r="V289" s="253"/>
    </row>
    <row r="290" spans="14:22">
      <c r="N290" s="253"/>
      <c r="O290" s="253"/>
      <c r="P290" s="253"/>
      <c r="Q290" s="253"/>
      <c r="R290" s="253"/>
      <c r="S290" s="253"/>
      <c r="T290" s="423"/>
      <c r="U290" s="203"/>
      <c r="V290" s="253"/>
    </row>
    <row r="291" spans="14:22">
      <c r="N291" s="253"/>
      <c r="O291" s="253"/>
      <c r="P291" s="253"/>
      <c r="Q291" s="253"/>
      <c r="R291" s="253"/>
      <c r="S291" s="253"/>
      <c r="T291" s="423"/>
      <c r="U291" s="203"/>
      <c r="V291" s="253"/>
    </row>
    <row r="292" spans="14:22">
      <c r="N292" s="253"/>
      <c r="O292" s="253"/>
      <c r="P292" s="253"/>
      <c r="Q292" s="253"/>
      <c r="R292" s="253"/>
      <c r="S292" s="253"/>
      <c r="T292" s="423"/>
      <c r="U292" s="203"/>
      <c r="V292" s="253"/>
    </row>
    <row r="293" spans="14:22">
      <c r="N293" s="253"/>
      <c r="O293" s="253"/>
      <c r="P293" s="253"/>
      <c r="Q293" s="253"/>
      <c r="R293" s="253"/>
      <c r="S293" s="253"/>
      <c r="T293" s="423"/>
      <c r="U293" s="203"/>
      <c r="V293" s="253"/>
    </row>
    <row r="294" spans="14:22">
      <c r="N294" s="253"/>
      <c r="O294" s="253"/>
      <c r="P294" s="253"/>
      <c r="Q294" s="253"/>
      <c r="R294" s="253"/>
      <c r="S294" s="253"/>
      <c r="T294" s="423"/>
      <c r="U294" s="203"/>
      <c r="V294" s="253"/>
    </row>
    <row r="295" spans="14:22">
      <c r="N295" s="253"/>
      <c r="O295" s="253"/>
      <c r="P295" s="253"/>
      <c r="Q295" s="253"/>
      <c r="R295" s="253"/>
      <c r="S295" s="253"/>
      <c r="T295" s="423"/>
      <c r="U295" s="203"/>
      <c r="V295" s="253"/>
    </row>
    <row r="296" spans="14:22">
      <c r="N296" s="253"/>
      <c r="O296" s="253"/>
      <c r="P296" s="253"/>
      <c r="Q296" s="253"/>
      <c r="R296" s="253"/>
      <c r="S296" s="253"/>
      <c r="T296" s="423"/>
      <c r="U296" s="203"/>
      <c r="V296" s="253"/>
    </row>
    <row r="297" spans="14:22">
      <c r="N297" s="253"/>
      <c r="O297" s="253"/>
      <c r="P297" s="253"/>
      <c r="Q297" s="253"/>
      <c r="R297" s="253"/>
      <c r="S297" s="253"/>
      <c r="T297" s="423"/>
      <c r="U297" s="203"/>
      <c r="V297" s="253"/>
    </row>
    <row r="298" spans="14:22">
      <c r="N298" s="253"/>
      <c r="O298" s="253"/>
      <c r="P298" s="253"/>
      <c r="Q298" s="253"/>
      <c r="R298" s="253"/>
      <c r="S298" s="253"/>
      <c r="T298" s="423"/>
      <c r="U298" s="203"/>
      <c r="V298" s="253"/>
    </row>
    <row r="299" spans="14:22">
      <c r="N299" s="253"/>
      <c r="O299" s="253"/>
      <c r="P299" s="253"/>
      <c r="Q299" s="253"/>
      <c r="R299" s="253"/>
      <c r="S299" s="253"/>
      <c r="T299" s="423"/>
      <c r="U299" s="203"/>
      <c r="V299" s="253"/>
    </row>
    <row r="300" spans="14:22">
      <c r="N300" s="253"/>
      <c r="O300" s="253"/>
      <c r="P300" s="253"/>
      <c r="Q300" s="253"/>
      <c r="R300" s="253"/>
      <c r="S300" s="253"/>
      <c r="T300" s="423"/>
      <c r="U300" s="203"/>
      <c r="V300" s="253"/>
    </row>
    <row r="301" spans="14:22">
      <c r="N301" s="253"/>
      <c r="O301" s="253"/>
      <c r="P301" s="253"/>
      <c r="Q301" s="253"/>
      <c r="R301" s="253"/>
      <c r="S301" s="253"/>
      <c r="T301" s="423"/>
      <c r="U301" s="203"/>
      <c r="V301" s="253"/>
    </row>
    <row r="302" spans="14:22">
      <c r="N302" s="253"/>
      <c r="O302" s="253"/>
      <c r="P302" s="253"/>
      <c r="Q302" s="253"/>
      <c r="R302" s="253"/>
      <c r="S302" s="253"/>
      <c r="T302" s="423"/>
      <c r="U302" s="203"/>
      <c r="V302" s="253"/>
    </row>
    <row r="303" spans="14:22">
      <c r="N303" s="253"/>
      <c r="O303" s="253"/>
      <c r="P303" s="253"/>
      <c r="Q303" s="253"/>
      <c r="R303" s="253"/>
      <c r="S303" s="253"/>
      <c r="T303" s="423"/>
      <c r="U303" s="203"/>
      <c r="V303" s="253"/>
    </row>
    <row r="304" spans="14:22">
      <c r="N304" s="253"/>
      <c r="O304" s="253"/>
      <c r="P304" s="253"/>
      <c r="Q304" s="253"/>
      <c r="R304" s="253"/>
      <c r="S304" s="253"/>
      <c r="T304" s="423"/>
      <c r="U304" s="203"/>
      <c r="V304" s="253"/>
    </row>
    <row r="305" spans="14:22">
      <c r="N305" s="253"/>
      <c r="O305" s="253"/>
      <c r="P305" s="253"/>
      <c r="Q305" s="253"/>
      <c r="R305" s="253"/>
      <c r="S305" s="253"/>
      <c r="T305" s="423"/>
      <c r="U305" s="203"/>
      <c r="V305" s="253"/>
    </row>
    <row r="306" spans="14:22">
      <c r="N306" s="253"/>
      <c r="O306" s="253"/>
      <c r="P306" s="253"/>
      <c r="Q306" s="253"/>
      <c r="R306" s="253"/>
      <c r="S306" s="253"/>
      <c r="T306" s="423"/>
      <c r="U306" s="203"/>
      <c r="V306" s="253"/>
    </row>
    <row r="307" spans="14:22">
      <c r="N307" s="253"/>
      <c r="O307" s="253"/>
      <c r="P307" s="253"/>
      <c r="Q307" s="253"/>
      <c r="R307" s="253"/>
      <c r="S307" s="253"/>
      <c r="T307" s="423"/>
      <c r="U307" s="203"/>
      <c r="V307" s="253"/>
    </row>
    <row r="308" spans="14:22">
      <c r="N308" s="253"/>
      <c r="O308" s="253"/>
      <c r="P308" s="253"/>
      <c r="Q308" s="253"/>
      <c r="R308" s="253"/>
      <c r="S308" s="253"/>
      <c r="T308" s="423"/>
      <c r="U308" s="203"/>
      <c r="V308" s="253"/>
    </row>
    <row r="309" spans="14:22">
      <c r="N309" s="253"/>
      <c r="O309" s="253"/>
      <c r="P309" s="253"/>
      <c r="Q309" s="253"/>
      <c r="R309" s="253"/>
      <c r="S309" s="253"/>
      <c r="T309" s="423"/>
      <c r="U309" s="203"/>
      <c r="V309" s="253"/>
    </row>
    <row r="310" spans="14:22">
      <c r="N310" s="253"/>
      <c r="O310" s="253"/>
      <c r="P310" s="253"/>
      <c r="Q310" s="253"/>
      <c r="R310" s="253"/>
      <c r="S310" s="253"/>
      <c r="T310" s="423"/>
      <c r="U310" s="203"/>
      <c r="V310" s="253"/>
    </row>
    <row r="311" spans="14:22">
      <c r="N311" s="253"/>
      <c r="O311" s="253"/>
      <c r="P311" s="253"/>
      <c r="Q311" s="253"/>
      <c r="R311" s="253"/>
      <c r="S311" s="253"/>
      <c r="T311" s="423"/>
      <c r="U311" s="203"/>
      <c r="V311" s="253"/>
    </row>
    <row r="312" spans="14:22">
      <c r="N312" s="253"/>
      <c r="O312" s="253"/>
      <c r="P312" s="253"/>
      <c r="Q312" s="253"/>
      <c r="R312" s="253"/>
      <c r="S312" s="253"/>
      <c r="T312" s="423"/>
      <c r="U312" s="203"/>
      <c r="V312" s="253"/>
    </row>
    <row r="313" spans="14:22">
      <c r="N313" s="253"/>
      <c r="O313" s="253"/>
      <c r="P313" s="253"/>
      <c r="Q313" s="253"/>
      <c r="R313" s="253"/>
      <c r="S313" s="253"/>
      <c r="T313" s="423"/>
      <c r="U313" s="203"/>
      <c r="V313" s="253"/>
    </row>
    <row r="314" spans="14:22">
      <c r="N314" s="253"/>
      <c r="O314" s="253"/>
      <c r="P314" s="253"/>
      <c r="Q314" s="253"/>
      <c r="R314" s="253"/>
      <c r="S314" s="253"/>
      <c r="T314" s="423"/>
      <c r="U314" s="203"/>
      <c r="V314" s="253"/>
    </row>
    <row r="315" spans="14:22">
      <c r="N315" s="253"/>
      <c r="O315" s="253"/>
      <c r="P315" s="253"/>
      <c r="Q315" s="253"/>
      <c r="R315" s="253"/>
      <c r="S315" s="253"/>
      <c r="T315" s="423"/>
      <c r="U315" s="203"/>
      <c r="V315" s="253"/>
    </row>
    <row r="316" spans="14:22">
      <c r="N316" s="253"/>
      <c r="O316" s="253"/>
      <c r="P316" s="253"/>
      <c r="Q316" s="253"/>
      <c r="R316" s="253"/>
      <c r="S316" s="253"/>
      <c r="T316" s="423"/>
      <c r="U316" s="203"/>
      <c r="V316" s="253"/>
    </row>
    <row r="317" spans="14:22">
      <c r="N317" s="253"/>
      <c r="O317" s="253"/>
      <c r="P317" s="253"/>
      <c r="Q317" s="253"/>
      <c r="R317" s="253"/>
      <c r="S317" s="253"/>
      <c r="T317" s="423"/>
      <c r="U317" s="203"/>
      <c r="V317" s="253"/>
    </row>
    <row r="318" spans="14:22">
      <c r="N318" s="253"/>
      <c r="O318" s="253"/>
      <c r="P318" s="253"/>
      <c r="Q318" s="253"/>
      <c r="R318" s="253"/>
      <c r="S318" s="253"/>
      <c r="T318" s="423"/>
      <c r="U318" s="203"/>
      <c r="V318" s="253"/>
    </row>
    <row r="319" spans="14:22">
      <c r="N319" s="253"/>
      <c r="O319" s="253"/>
      <c r="P319" s="253"/>
      <c r="Q319" s="253"/>
      <c r="R319" s="253"/>
      <c r="S319" s="253"/>
      <c r="T319" s="423"/>
      <c r="U319" s="203"/>
      <c r="V319" s="253"/>
    </row>
    <row r="320" spans="14:22">
      <c r="N320" s="253"/>
      <c r="O320" s="253"/>
      <c r="P320" s="253"/>
      <c r="Q320" s="253"/>
      <c r="R320" s="253"/>
      <c r="S320" s="253"/>
      <c r="T320" s="423"/>
      <c r="U320" s="203"/>
      <c r="V320" s="253"/>
    </row>
    <row r="321" spans="14:22">
      <c r="N321" s="253"/>
      <c r="O321" s="253"/>
      <c r="P321" s="253"/>
      <c r="Q321" s="253"/>
      <c r="R321" s="253"/>
      <c r="S321" s="253"/>
      <c r="T321" s="423"/>
      <c r="U321" s="203"/>
      <c r="V321" s="253"/>
    </row>
    <row r="322" spans="14:22">
      <c r="N322" s="253"/>
      <c r="O322" s="253"/>
      <c r="P322" s="253"/>
      <c r="Q322" s="253"/>
      <c r="R322" s="253"/>
      <c r="S322" s="253"/>
      <c r="T322" s="423"/>
      <c r="U322" s="203"/>
      <c r="V322" s="253"/>
    </row>
    <row r="323" spans="14:22">
      <c r="N323" s="253"/>
      <c r="O323" s="253"/>
      <c r="P323" s="253"/>
      <c r="Q323" s="253"/>
      <c r="R323" s="253"/>
      <c r="S323" s="253"/>
      <c r="T323" s="423"/>
      <c r="U323" s="203"/>
      <c r="V323" s="253"/>
    </row>
    <row r="324" spans="14:22">
      <c r="N324" s="253"/>
      <c r="O324" s="253"/>
      <c r="P324" s="253"/>
      <c r="Q324" s="253"/>
      <c r="R324" s="253"/>
      <c r="S324" s="253"/>
      <c r="T324" s="423"/>
      <c r="U324" s="203"/>
      <c r="V324" s="253"/>
    </row>
    <row r="325" spans="14:22">
      <c r="N325" s="253"/>
      <c r="O325" s="253"/>
      <c r="P325" s="253"/>
      <c r="Q325" s="253"/>
      <c r="R325" s="253"/>
      <c r="S325" s="253"/>
      <c r="T325" s="423"/>
      <c r="U325" s="203"/>
      <c r="V325" s="253"/>
    </row>
    <row r="326" spans="14:22">
      <c r="N326" s="253"/>
      <c r="O326" s="253"/>
      <c r="P326" s="253"/>
      <c r="Q326" s="253"/>
      <c r="R326" s="253"/>
      <c r="S326" s="253"/>
      <c r="T326" s="423"/>
      <c r="U326" s="203"/>
      <c r="V326" s="253"/>
    </row>
    <row r="327" spans="14:22">
      <c r="N327" s="253"/>
      <c r="O327" s="253"/>
      <c r="P327" s="253"/>
      <c r="Q327" s="253"/>
      <c r="R327" s="253"/>
      <c r="S327" s="253"/>
      <c r="T327" s="423"/>
      <c r="U327" s="203"/>
      <c r="V327" s="253"/>
    </row>
    <row r="328" spans="14:22">
      <c r="N328" s="253"/>
      <c r="O328" s="253"/>
      <c r="P328" s="253"/>
      <c r="Q328" s="253"/>
      <c r="R328" s="253"/>
      <c r="S328" s="253"/>
      <c r="T328" s="423"/>
      <c r="U328" s="203"/>
      <c r="V328" s="253"/>
    </row>
    <row r="329" spans="14:22">
      <c r="N329" s="253"/>
      <c r="O329" s="253"/>
      <c r="P329" s="253"/>
      <c r="Q329" s="253"/>
      <c r="R329" s="253"/>
      <c r="S329" s="253"/>
      <c r="T329" s="423"/>
      <c r="U329" s="203"/>
      <c r="V329" s="253"/>
    </row>
    <row r="330" spans="14:22">
      <c r="N330" s="253"/>
      <c r="O330" s="253"/>
      <c r="P330" s="253"/>
      <c r="Q330" s="253"/>
      <c r="R330" s="253"/>
      <c r="S330" s="253"/>
      <c r="T330" s="423"/>
      <c r="U330" s="203"/>
      <c r="V330" s="253"/>
    </row>
    <row r="331" spans="14:22">
      <c r="N331" s="253"/>
      <c r="O331" s="253"/>
      <c r="P331" s="253"/>
      <c r="Q331" s="253"/>
      <c r="R331" s="253"/>
      <c r="S331" s="253"/>
      <c r="T331" s="423"/>
      <c r="U331" s="203"/>
      <c r="V331" s="253"/>
    </row>
    <row r="332" spans="14:22">
      <c r="N332" s="253"/>
      <c r="O332" s="253"/>
      <c r="P332" s="253"/>
      <c r="Q332" s="253"/>
      <c r="R332" s="253"/>
      <c r="S332" s="253"/>
      <c r="T332" s="423"/>
      <c r="U332" s="203"/>
      <c r="V332" s="253"/>
    </row>
    <row r="333" spans="14:22">
      <c r="N333" s="253"/>
      <c r="O333" s="253"/>
      <c r="P333" s="253"/>
      <c r="Q333" s="253"/>
      <c r="R333" s="253"/>
      <c r="S333" s="253"/>
      <c r="T333" s="423"/>
      <c r="U333" s="203"/>
      <c r="V333" s="253"/>
    </row>
    <row r="334" spans="14:22">
      <c r="N334" s="253"/>
      <c r="O334" s="253"/>
      <c r="P334" s="253"/>
      <c r="Q334" s="253"/>
      <c r="R334" s="253"/>
      <c r="S334" s="253"/>
      <c r="T334" s="423"/>
      <c r="U334" s="203"/>
      <c r="V334" s="253"/>
    </row>
    <row r="335" spans="14:22">
      <c r="N335" s="253"/>
      <c r="O335" s="253"/>
      <c r="P335" s="253"/>
      <c r="Q335" s="253"/>
      <c r="R335" s="253"/>
      <c r="S335" s="253"/>
      <c r="T335" s="423"/>
      <c r="U335" s="203"/>
      <c r="V335" s="253"/>
    </row>
    <row r="336" spans="14:22">
      <c r="N336" s="253"/>
      <c r="O336" s="253"/>
      <c r="P336" s="253"/>
      <c r="Q336" s="253"/>
      <c r="R336" s="253"/>
      <c r="S336" s="253"/>
      <c r="T336" s="423"/>
      <c r="U336" s="203"/>
      <c r="V336" s="253"/>
    </row>
    <row r="337" spans="14:22">
      <c r="N337" s="253"/>
      <c r="O337" s="253"/>
      <c r="P337" s="253"/>
      <c r="Q337" s="253"/>
      <c r="R337" s="253"/>
      <c r="S337" s="253"/>
      <c r="T337" s="423"/>
      <c r="U337" s="203"/>
      <c r="V337" s="253"/>
    </row>
    <row r="338" spans="14:22">
      <c r="N338" s="253"/>
      <c r="O338" s="253"/>
      <c r="P338" s="253"/>
      <c r="Q338" s="253"/>
      <c r="R338" s="253"/>
      <c r="S338" s="253"/>
      <c r="T338" s="423"/>
      <c r="U338" s="203"/>
      <c r="V338" s="253"/>
    </row>
    <row r="339" spans="14:22">
      <c r="N339" s="253"/>
      <c r="O339" s="253"/>
      <c r="P339" s="253"/>
      <c r="Q339" s="253"/>
      <c r="R339" s="253"/>
      <c r="S339" s="253"/>
      <c r="T339" s="423"/>
      <c r="U339" s="203"/>
      <c r="V339" s="253"/>
    </row>
    <row r="340" spans="14:22">
      <c r="N340" s="253"/>
      <c r="O340" s="253"/>
      <c r="P340" s="253"/>
      <c r="Q340" s="253"/>
      <c r="R340" s="253"/>
      <c r="S340" s="253"/>
      <c r="T340" s="423"/>
      <c r="U340" s="203"/>
      <c r="V340" s="253"/>
    </row>
    <row r="341" spans="14:22">
      <c r="N341" s="253"/>
      <c r="O341" s="253"/>
      <c r="P341" s="253"/>
      <c r="Q341" s="253"/>
      <c r="R341" s="253"/>
      <c r="S341" s="253"/>
      <c r="T341" s="423"/>
      <c r="U341" s="203"/>
      <c r="V341" s="253"/>
    </row>
    <row r="342" spans="14:22">
      <c r="N342" s="253"/>
      <c r="O342" s="253"/>
      <c r="P342" s="253"/>
      <c r="Q342" s="253"/>
      <c r="R342" s="253"/>
      <c r="S342" s="253"/>
      <c r="T342" s="423"/>
      <c r="U342" s="203"/>
      <c r="V342" s="253"/>
    </row>
    <row r="343" spans="14:22">
      <c r="N343" s="253"/>
      <c r="O343" s="253"/>
      <c r="P343" s="253"/>
      <c r="Q343" s="253"/>
      <c r="R343" s="253"/>
      <c r="S343" s="253"/>
      <c r="T343" s="423"/>
      <c r="U343" s="203"/>
      <c r="V343" s="253"/>
    </row>
    <row r="344" spans="14:22">
      <c r="N344" s="253"/>
      <c r="O344" s="253"/>
      <c r="P344" s="253"/>
      <c r="Q344" s="253"/>
      <c r="R344" s="253"/>
      <c r="S344" s="253"/>
      <c r="T344" s="423"/>
      <c r="U344" s="203"/>
      <c r="V344" s="253"/>
    </row>
    <row r="345" spans="14:22">
      <c r="N345" s="253"/>
      <c r="O345" s="253"/>
      <c r="P345" s="253"/>
      <c r="Q345" s="253"/>
      <c r="R345" s="253"/>
      <c r="S345" s="253"/>
      <c r="T345" s="423"/>
      <c r="U345" s="203"/>
      <c r="V345" s="253"/>
    </row>
    <row r="346" spans="14:22">
      <c r="N346" s="253"/>
      <c r="O346" s="253"/>
      <c r="P346" s="253"/>
      <c r="Q346" s="253"/>
      <c r="R346" s="253"/>
      <c r="S346" s="253"/>
      <c r="T346" s="423"/>
      <c r="U346" s="203"/>
      <c r="V346" s="253"/>
    </row>
    <row r="347" spans="14:22">
      <c r="N347" s="253"/>
      <c r="O347" s="253"/>
      <c r="P347" s="253"/>
      <c r="Q347" s="253"/>
      <c r="R347" s="253"/>
      <c r="S347" s="253"/>
      <c r="T347" s="423"/>
      <c r="U347" s="203"/>
      <c r="V347" s="253"/>
    </row>
    <row r="348" spans="14:22">
      <c r="N348" s="253"/>
      <c r="O348" s="253"/>
      <c r="P348" s="253"/>
      <c r="Q348" s="253"/>
      <c r="R348" s="253"/>
      <c r="S348" s="253"/>
      <c r="T348" s="423"/>
      <c r="U348" s="203"/>
      <c r="V348" s="253"/>
    </row>
    <row r="349" spans="14:22">
      <c r="N349" s="253"/>
      <c r="O349" s="253"/>
      <c r="P349" s="253"/>
      <c r="Q349" s="253"/>
      <c r="R349" s="253"/>
      <c r="S349" s="253"/>
      <c r="T349" s="423"/>
      <c r="U349" s="203"/>
      <c r="V349" s="253"/>
    </row>
    <row r="350" spans="14:22">
      <c r="N350" s="253"/>
      <c r="O350" s="253"/>
      <c r="P350" s="253"/>
      <c r="Q350" s="253"/>
      <c r="R350" s="253"/>
      <c r="S350" s="253"/>
      <c r="T350" s="423"/>
      <c r="U350" s="203"/>
      <c r="V350" s="253"/>
    </row>
    <row r="351" spans="14:22">
      <c r="N351" s="253"/>
      <c r="O351" s="253"/>
      <c r="P351" s="253"/>
      <c r="Q351" s="253"/>
      <c r="R351" s="253"/>
      <c r="S351" s="253"/>
      <c r="T351" s="423"/>
      <c r="U351" s="203"/>
      <c r="V351" s="253"/>
    </row>
    <row r="352" spans="14:22">
      <c r="N352" s="253"/>
      <c r="O352" s="253"/>
      <c r="P352" s="253"/>
      <c r="Q352" s="253"/>
      <c r="R352" s="253"/>
      <c r="S352" s="253"/>
      <c r="T352" s="423"/>
      <c r="U352" s="203"/>
      <c r="V352" s="253"/>
    </row>
    <row r="353" spans="14:22">
      <c r="N353" s="253"/>
      <c r="O353" s="253"/>
      <c r="P353" s="253"/>
      <c r="Q353" s="253"/>
      <c r="R353" s="253"/>
      <c r="S353" s="253"/>
      <c r="T353" s="423"/>
      <c r="U353" s="203"/>
      <c r="V353" s="253"/>
    </row>
    <row r="354" spans="14:22">
      <c r="N354" s="253"/>
      <c r="O354" s="253"/>
      <c r="P354" s="253"/>
      <c r="Q354" s="253"/>
      <c r="R354" s="253"/>
      <c r="S354" s="253"/>
      <c r="T354" s="423"/>
      <c r="U354" s="203"/>
      <c r="V354" s="253"/>
    </row>
    <row r="355" spans="14:22">
      <c r="N355" s="253"/>
      <c r="O355" s="253"/>
      <c r="P355" s="253"/>
      <c r="Q355" s="253"/>
      <c r="R355" s="253"/>
      <c r="S355" s="253"/>
      <c r="T355" s="423"/>
      <c r="U355" s="203"/>
      <c r="V355" s="253"/>
    </row>
    <row r="356" spans="14:22">
      <c r="N356" s="253"/>
      <c r="O356" s="253"/>
      <c r="P356" s="253"/>
      <c r="Q356" s="253"/>
      <c r="R356" s="253"/>
      <c r="S356" s="253"/>
      <c r="T356" s="423"/>
      <c r="U356" s="203"/>
      <c r="V356" s="253"/>
    </row>
    <row r="357" spans="14:22">
      <c r="N357" s="253"/>
      <c r="O357" s="253"/>
      <c r="P357" s="253"/>
      <c r="Q357" s="253"/>
      <c r="R357" s="253"/>
      <c r="S357" s="253"/>
      <c r="T357" s="423"/>
      <c r="U357" s="203"/>
      <c r="V357" s="253"/>
    </row>
    <row r="358" spans="14:22">
      <c r="N358" s="253"/>
      <c r="O358" s="253"/>
      <c r="P358" s="253"/>
      <c r="Q358" s="253"/>
      <c r="R358" s="253"/>
      <c r="S358" s="253"/>
      <c r="T358" s="423"/>
      <c r="U358" s="203"/>
      <c r="V358" s="253"/>
    </row>
    <row r="359" spans="14:22">
      <c r="N359" s="253"/>
      <c r="O359" s="253"/>
      <c r="P359" s="253"/>
      <c r="Q359" s="253"/>
      <c r="R359" s="253"/>
      <c r="S359" s="253"/>
      <c r="T359" s="423"/>
      <c r="U359" s="203"/>
      <c r="V359" s="253"/>
    </row>
    <row r="360" spans="14:22">
      <c r="N360" s="253"/>
      <c r="O360" s="253"/>
      <c r="P360" s="253"/>
      <c r="Q360" s="253"/>
      <c r="R360" s="253"/>
      <c r="S360" s="253"/>
      <c r="T360" s="423"/>
      <c r="U360" s="203"/>
      <c r="V360" s="253"/>
    </row>
    <row r="361" spans="14:22">
      <c r="N361" s="253"/>
      <c r="O361" s="253"/>
      <c r="P361" s="253"/>
      <c r="Q361" s="253"/>
      <c r="R361" s="253"/>
      <c r="S361" s="253"/>
      <c r="T361" s="423"/>
      <c r="U361" s="203"/>
      <c r="V361" s="253"/>
    </row>
    <row r="362" spans="14:22">
      <c r="N362" s="253"/>
      <c r="O362" s="253"/>
      <c r="P362" s="253"/>
      <c r="Q362" s="253"/>
      <c r="R362" s="253"/>
      <c r="S362" s="253"/>
      <c r="T362" s="423"/>
      <c r="U362" s="203"/>
      <c r="V362" s="253"/>
    </row>
    <row r="363" spans="14:22">
      <c r="N363" s="253"/>
      <c r="O363" s="253"/>
      <c r="P363" s="253"/>
      <c r="Q363" s="253"/>
      <c r="R363" s="253"/>
      <c r="S363" s="253"/>
      <c r="T363" s="423"/>
      <c r="U363" s="203"/>
      <c r="V363" s="253"/>
    </row>
    <row r="364" spans="14:22">
      <c r="N364" s="253"/>
      <c r="O364" s="253"/>
      <c r="P364" s="253"/>
      <c r="Q364" s="253"/>
      <c r="R364" s="253"/>
      <c r="S364" s="253"/>
      <c r="T364" s="423"/>
      <c r="U364" s="203"/>
      <c r="V364" s="253"/>
    </row>
    <row r="365" spans="14:22">
      <c r="N365" s="253"/>
      <c r="O365" s="253"/>
      <c r="P365" s="253"/>
      <c r="Q365" s="253"/>
      <c r="R365" s="253"/>
      <c r="S365" s="253"/>
      <c r="T365" s="423"/>
      <c r="U365" s="203"/>
      <c r="V365" s="253"/>
    </row>
    <row r="366" spans="14:22">
      <c r="N366" s="253"/>
      <c r="O366" s="253"/>
      <c r="P366" s="253"/>
      <c r="Q366" s="253"/>
      <c r="R366" s="253"/>
      <c r="S366" s="253"/>
      <c r="T366" s="423"/>
      <c r="U366" s="203"/>
      <c r="V366" s="253"/>
    </row>
    <row r="367" spans="14:22">
      <c r="N367" s="253"/>
      <c r="O367" s="253"/>
      <c r="P367" s="253"/>
      <c r="Q367" s="253"/>
      <c r="R367" s="253"/>
      <c r="S367" s="253"/>
      <c r="T367" s="423"/>
      <c r="U367" s="203"/>
      <c r="V367" s="253"/>
    </row>
    <row r="368" spans="14:22">
      <c r="N368" s="253"/>
      <c r="O368" s="253"/>
      <c r="P368" s="253"/>
      <c r="Q368" s="253"/>
      <c r="R368" s="253"/>
      <c r="S368" s="253"/>
      <c r="T368" s="423"/>
      <c r="U368" s="203"/>
      <c r="V368" s="253"/>
    </row>
    <row r="369" spans="14:22">
      <c r="N369" s="253"/>
      <c r="O369" s="253"/>
      <c r="P369" s="253"/>
      <c r="Q369" s="253"/>
      <c r="R369" s="253"/>
      <c r="S369" s="253"/>
      <c r="T369" s="423"/>
      <c r="U369" s="203"/>
      <c r="V369" s="253"/>
    </row>
    <row r="370" spans="14:22">
      <c r="N370" s="253"/>
      <c r="O370" s="253"/>
      <c r="P370" s="253"/>
      <c r="Q370" s="253"/>
      <c r="R370" s="253"/>
      <c r="S370" s="253"/>
      <c r="T370" s="423"/>
      <c r="U370" s="203"/>
      <c r="V370" s="253"/>
    </row>
    <row r="371" spans="14:22">
      <c r="N371" s="253"/>
      <c r="O371" s="253"/>
      <c r="P371" s="253"/>
      <c r="Q371" s="253"/>
      <c r="R371" s="253"/>
      <c r="S371" s="253"/>
      <c r="T371" s="423"/>
      <c r="U371" s="203"/>
      <c r="V371" s="253"/>
    </row>
    <row r="372" spans="14:22">
      <c r="N372" s="253"/>
      <c r="O372" s="253"/>
      <c r="P372" s="253"/>
      <c r="Q372" s="253"/>
      <c r="R372" s="253"/>
      <c r="S372" s="253"/>
      <c r="T372" s="423"/>
      <c r="U372" s="203"/>
      <c r="V372" s="253"/>
    </row>
    <row r="373" spans="14:22">
      <c r="N373" s="253"/>
      <c r="O373" s="253"/>
      <c r="P373" s="253"/>
      <c r="Q373" s="253"/>
      <c r="R373" s="253"/>
      <c r="S373" s="253"/>
      <c r="T373" s="423"/>
      <c r="U373" s="203"/>
      <c r="V373" s="253"/>
    </row>
    <row r="374" spans="14:22">
      <c r="N374" s="253"/>
      <c r="O374" s="253"/>
      <c r="P374" s="253"/>
      <c r="Q374" s="253"/>
      <c r="R374" s="253"/>
      <c r="S374" s="253"/>
      <c r="T374" s="423"/>
      <c r="U374" s="203"/>
      <c r="V374" s="253"/>
    </row>
    <row r="375" spans="14:22">
      <c r="N375" s="253"/>
      <c r="O375" s="253"/>
      <c r="P375" s="253"/>
      <c r="Q375" s="253"/>
      <c r="R375" s="253"/>
      <c r="S375" s="253"/>
      <c r="T375" s="423"/>
      <c r="U375" s="203"/>
      <c r="V375" s="253"/>
    </row>
    <row r="376" spans="14:22">
      <c r="N376" s="253"/>
      <c r="O376" s="253"/>
      <c r="P376" s="253"/>
      <c r="Q376" s="253"/>
      <c r="R376" s="253"/>
      <c r="S376" s="253"/>
      <c r="T376" s="423"/>
      <c r="U376" s="203"/>
      <c r="V376" s="253"/>
    </row>
    <row r="377" spans="14:22">
      <c r="N377" s="253"/>
      <c r="O377" s="253"/>
      <c r="P377" s="253"/>
      <c r="Q377" s="253"/>
      <c r="R377" s="253"/>
      <c r="S377" s="253"/>
      <c r="T377" s="423"/>
      <c r="U377" s="203"/>
      <c r="V377" s="253"/>
    </row>
    <row r="378" spans="14:22">
      <c r="N378" s="253"/>
      <c r="O378" s="253"/>
      <c r="P378" s="253"/>
      <c r="Q378" s="253"/>
      <c r="R378" s="253"/>
      <c r="S378" s="253"/>
      <c r="T378" s="423"/>
      <c r="U378" s="203"/>
      <c r="V378" s="253"/>
    </row>
    <row r="379" spans="14:22">
      <c r="N379" s="253"/>
      <c r="O379" s="253"/>
      <c r="P379" s="253"/>
      <c r="Q379" s="253"/>
      <c r="R379" s="253"/>
      <c r="S379" s="253"/>
      <c r="T379" s="423"/>
      <c r="U379" s="203"/>
      <c r="V379" s="253"/>
    </row>
    <row r="380" spans="14:22">
      <c r="N380" s="253"/>
      <c r="O380" s="253"/>
      <c r="P380" s="253"/>
      <c r="Q380" s="253"/>
      <c r="R380" s="253"/>
      <c r="S380" s="253"/>
      <c r="T380" s="423"/>
      <c r="U380" s="203"/>
      <c r="V380" s="253"/>
    </row>
    <row r="381" spans="14:22">
      <c r="N381" s="253"/>
      <c r="O381" s="253"/>
      <c r="P381" s="253"/>
      <c r="Q381" s="253"/>
      <c r="R381" s="253"/>
      <c r="S381" s="253"/>
      <c r="T381" s="423"/>
      <c r="U381" s="203"/>
      <c r="V381" s="253"/>
    </row>
    <row r="382" spans="14:22">
      <c r="N382" s="253"/>
      <c r="O382" s="253"/>
      <c r="P382" s="253"/>
      <c r="Q382" s="253"/>
      <c r="R382" s="253"/>
      <c r="S382" s="253"/>
      <c r="T382" s="423"/>
      <c r="U382" s="203"/>
      <c r="V382" s="253"/>
    </row>
    <row r="383" spans="14:22">
      <c r="N383" s="253"/>
      <c r="O383" s="253"/>
      <c r="P383" s="253"/>
      <c r="Q383" s="253"/>
      <c r="R383" s="253"/>
      <c r="S383" s="253"/>
      <c r="T383" s="423"/>
      <c r="U383" s="203"/>
      <c r="V383" s="253"/>
    </row>
    <row r="384" spans="14:22">
      <c r="N384" s="253"/>
      <c r="O384" s="253"/>
      <c r="P384" s="253"/>
      <c r="Q384" s="253"/>
      <c r="R384" s="253"/>
      <c r="S384" s="253"/>
      <c r="T384" s="423"/>
      <c r="U384" s="203"/>
      <c r="V384" s="253"/>
    </row>
    <row r="385" spans="14:22">
      <c r="N385" s="253"/>
      <c r="O385" s="253"/>
      <c r="P385" s="253"/>
      <c r="Q385" s="253"/>
      <c r="R385" s="253"/>
      <c r="S385" s="253"/>
      <c r="T385" s="423"/>
      <c r="U385" s="203"/>
      <c r="V385" s="253"/>
    </row>
    <row r="386" spans="14:22">
      <c r="N386" s="253"/>
      <c r="O386" s="253"/>
      <c r="P386" s="253"/>
      <c r="Q386" s="253"/>
      <c r="R386" s="253"/>
      <c r="S386" s="253"/>
      <c r="T386" s="423"/>
      <c r="U386" s="203"/>
      <c r="V386" s="253"/>
    </row>
    <row r="387" spans="14:22">
      <c r="N387" s="253"/>
      <c r="O387" s="253"/>
      <c r="P387" s="253"/>
      <c r="Q387" s="253"/>
      <c r="R387" s="253"/>
      <c r="S387" s="253"/>
      <c r="T387" s="423"/>
      <c r="U387" s="203"/>
      <c r="V387" s="253"/>
    </row>
    <row r="388" spans="14:22">
      <c r="N388" s="253"/>
      <c r="O388" s="253"/>
      <c r="P388" s="253"/>
      <c r="Q388" s="253"/>
      <c r="R388" s="253"/>
      <c r="S388" s="253"/>
      <c r="T388" s="423"/>
      <c r="U388" s="203"/>
      <c r="V388" s="253"/>
    </row>
    <row r="389" spans="14:22">
      <c r="N389" s="253"/>
      <c r="O389" s="253"/>
      <c r="P389" s="253"/>
      <c r="Q389" s="253"/>
      <c r="R389" s="253"/>
      <c r="S389" s="253"/>
      <c r="T389" s="423"/>
      <c r="U389" s="203"/>
      <c r="V389" s="253"/>
    </row>
    <row r="390" spans="14:22">
      <c r="N390" s="253"/>
      <c r="O390" s="253"/>
      <c r="P390" s="253"/>
      <c r="Q390" s="253"/>
      <c r="R390" s="253"/>
      <c r="S390" s="253"/>
      <c r="T390" s="423"/>
      <c r="U390" s="203"/>
      <c r="V390" s="253"/>
    </row>
    <row r="391" spans="14:22">
      <c r="N391" s="253"/>
      <c r="O391" s="253"/>
      <c r="P391" s="253"/>
      <c r="Q391" s="253"/>
      <c r="R391" s="253"/>
      <c r="S391" s="253"/>
      <c r="T391" s="423"/>
      <c r="U391" s="203"/>
      <c r="V391" s="253"/>
    </row>
    <row r="392" spans="14:22">
      <c r="N392" s="253"/>
      <c r="O392" s="253"/>
      <c r="P392" s="253"/>
      <c r="Q392" s="253"/>
      <c r="R392" s="253"/>
      <c r="S392" s="253"/>
      <c r="T392" s="423"/>
      <c r="U392" s="203"/>
      <c r="V392" s="253"/>
    </row>
    <row r="393" spans="14:22">
      <c r="N393" s="253"/>
      <c r="O393" s="253"/>
      <c r="P393" s="253"/>
      <c r="Q393" s="253"/>
      <c r="R393" s="253"/>
      <c r="S393" s="253"/>
      <c r="T393" s="423"/>
      <c r="U393" s="203"/>
      <c r="V393" s="253"/>
    </row>
    <row r="394" spans="14:22">
      <c r="N394" s="253"/>
      <c r="O394" s="253"/>
      <c r="P394" s="253"/>
      <c r="Q394" s="253"/>
      <c r="R394" s="253"/>
      <c r="S394" s="253"/>
      <c r="T394" s="423"/>
      <c r="U394" s="203"/>
      <c r="V394" s="253"/>
    </row>
    <row r="395" spans="14:22">
      <c r="N395" s="253"/>
      <c r="O395" s="253"/>
      <c r="P395" s="253"/>
      <c r="Q395" s="253"/>
      <c r="R395" s="253"/>
      <c r="S395" s="253"/>
      <c r="T395" s="423"/>
      <c r="U395" s="203"/>
      <c r="V395" s="253"/>
    </row>
    <row r="396" spans="14:22">
      <c r="N396" s="253"/>
      <c r="O396" s="253"/>
      <c r="P396" s="253"/>
      <c r="Q396" s="253"/>
      <c r="R396" s="253"/>
      <c r="S396" s="253"/>
      <c r="T396" s="423"/>
      <c r="U396" s="203"/>
      <c r="V396" s="253"/>
    </row>
    <row r="397" spans="14:22">
      <c r="N397" s="253"/>
      <c r="O397" s="253"/>
      <c r="P397" s="253"/>
      <c r="Q397" s="253"/>
      <c r="R397" s="253"/>
      <c r="S397" s="253"/>
      <c r="T397" s="423"/>
      <c r="U397" s="203"/>
      <c r="V397" s="253"/>
    </row>
    <row r="398" spans="14:22">
      <c r="N398" s="253"/>
      <c r="O398" s="253"/>
      <c r="P398" s="253"/>
      <c r="Q398" s="253"/>
      <c r="R398" s="253"/>
      <c r="S398" s="253"/>
      <c r="T398" s="423"/>
      <c r="U398" s="203"/>
      <c r="V398" s="253"/>
    </row>
    <row r="399" spans="14:22">
      <c r="N399" s="253"/>
      <c r="O399" s="253"/>
      <c r="P399" s="253"/>
      <c r="Q399" s="253"/>
      <c r="R399" s="253"/>
      <c r="S399" s="253"/>
      <c r="T399" s="423"/>
      <c r="U399" s="203"/>
      <c r="V399" s="253"/>
    </row>
    <row r="400" spans="14:22">
      <c r="N400" s="253"/>
      <c r="O400" s="253"/>
      <c r="P400" s="253"/>
      <c r="Q400" s="253"/>
      <c r="R400" s="253"/>
      <c r="S400" s="253"/>
      <c r="T400" s="423"/>
      <c r="U400" s="203"/>
      <c r="V400" s="253"/>
    </row>
    <row r="401" spans="14:22">
      <c r="N401" s="253"/>
      <c r="O401" s="253"/>
      <c r="P401" s="253"/>
      <c r="Q401" s="253"/>
      <c r="R401" s="253"/>
      <c r="S401" s="253"/>
      <c r="T401" s="423"/>
      <c r="U401" s="203"/>
      <c r="V401" s="253"/>
    </row>
    <row r="402" spans="14:22">
      <c r="N402" s="253"/>
      <c r="O402" s="253"/>
      <c r="P402" s="253"/>
      <c r="Q402" s="253"/>
      <c r="R402" s="253"/>
      <c r="S402" s="253"/>
      <c r="T402" s="423"/>
      <c r="U402" s="203"/>
      <c r="V402" s="253"/>
    </row>
    <row r="403" spans="14:22">
      <c r="N403" s="253"/>
      <c r="O403" s="253"/>
      <c r="P403" s="253"/>
      <c r="Q403" s="253"/>
      <c r="R403" s="253"/>
      <c r="S403" s="253"/>
      <c r="T403" s="423"/>
      <c r="U403" s="203"/>
      <c r="V403" s="253"/>
    </row>
    <row r="404" spans="14:22">
      <c r="N404" s="253"/>
      <c r="O404" s="253"/>
      <c r="P404" s="253"/>
      <c r="Q404" s="253"/>
      <c r="R404" s="253"/>
      <c r="S404" s="253"/>
      <c r="T404" s="423"/>
      <c r="U404" s="203"/>
      <c r="V404" s="253"/>
    </row>
    <row r="405" spans="14:22">
      <c r="N405" s="253"/>
      <c r="O405" s="253"/>
      <c r="P405" s="253"/>
      <c r="Q405" s="253"/>
      <c r="R405" s="253"/>
      <c r="S405" s="253"/>
      <c r="T405" s="423"/>
      <c r="U405" s="203"/>
      <c r="V405" s="253"/>
    </row>
    <row r="406" spans="14:22">
      <c r="N406" s="253"/>
      <c r="O406" s="253"/>
      <c r="P406" s="253"/>
      <c r="Q406" s="253"/>
      <c r="R406" s="253"/>
      <c r="S406" s="253"/>
      <c r="T406" s="423"/>
      <c r="U406" s="203"/>
      <c r="V406" s="253"/>
    </row>
    <row r="407" spans="14:22">
      <c r="N407" s="253"/>
      <c r="O407" s="253"/>
      <c r="P407" s="253"/>
      <c r="Q407" s="253"/>
      <c r="R407" s="253"/>
      <c r="S407" s="253"/>
      <c r="T407" s="423"/>
      <c r="U407" s="203"/>
      <c r="V407" s="253"/>
    </row>
    <row r="408" spans="14:22">
      <c r="N408" s="253"/>
      <c r="O408" s="253"/>
      <c r="P408" s="253"/>
      <c r="Q408" s="253"/>
      <c r="R408" s="253"/>
      <c r="S408" s="253"/>
      <c r="T408" s="423"/>
      <c r="U408" s="203"/>
      <c r="V408" s="253"/>
    </row>
    <row r="409" spans="14:22">
      <c r="N409" s="253"/>
      <c r="O409" s="253"/>
      <c r="P409" s="253"/>
      <c r="Q409" s="253"/>
      <c r="R409" s="253"/>
      <c r="S409" s="253"/>
      <c r="T409" s="423"/>
      <c r="U409" s="203"/>
      <c r="V409" s="253"/>
    </row>
    <row r="410" spans="14:22">
      <c r="N410" s="253"/>
      <c r="O410" s="253"/>
      <c r="P410" s="253"/>
      <c r="Q410" s="253"/>
      <c r="R410" s="253"/>
      <c r="S410" s="253"/>
      <c r="T410" s="423"/>
      <c r="U410" s="203"/>
      <c r="V410" s="253"/>
    </row>
    <row r="411" spans="14:22">
      <c r="N411" s="253"/>
      <c r="O411" s="253"/>
      <c r="P411" s="253"/>
      <c r="Q411" s="253"/>
      <c r="R411" s="253"/>
      <c r="S411" s="253"/>
      <c r="T411" s="423"/>
      <c r="U411" s="203"/>
      <c r="V411" s="253"/>
    </row>
    <row r="412" spans="14:22">
      <c r="N412" s="253"/>
      <c r="O412" s="253"/>
      <c r="P412" s="253"/>
      <c r="Q412" s="253"/>
      <c r="R412" s="253"/>
      <c r="S412" s="253"/>
      <c r="T412" s="423"/>
      <c r="U412" s="203"/>
      <c r="V412" s="253"/>
    </row>
    <row r="413" spans="14:22">
      <c r="N413" s="253"/>
      <c r="O413" s="253"/>
      <c r="P413" s="253"/>
      <c r="Q413" s="253"/>
      <c r="R413" s="253"/>
      <c r="S413" s="253"/>
      <c r="T413" s="423"/>
      <c r="U413" s="203"/>
      <c r="V413" s="253"/>
    </row>
    <row r="414" spans="14:22">
      <c r="N414" s="253"/>
      <c r="O414" s="253"/>
      <c r="P414" s="253"/>
      <c r="Q414" s="253"/>
      <c r="R414" s="253"/>
      <c r="S414" s="253"/>
      <c r="T414" s="423"/>
      <c r="U414" s="203"/>
      <c r="V414" s="253"/>
    </row>
    <row r="415" spans="14:22">
      <c r="N415" s="253"/>
      <c r="O415" s="253"/>
      <c r="P415" s="253"/>
      <c r="Q415" s="253"/>
      <c r="R415" s="253"/>
      <c r="S415" s="253"/>
      <c r="T415" s="423"/>
      <c r="U415" s="203"/>
      <c r="V415" s="253"/>
    </row>
    <row r="416" spans="14:22">
      <c r="N416" s="253"/>
      <c r="O416" s="253"/>
      <c r="P416" s="253"/>
      <c r="Q416" s="253"/>
      <c r="R416" s="253"/>
      <c r="S416" s="253"/>
      <c r="T416" s="423"/>
      <c r="U416" s="203"/>
      <c r="V416" s="253"/>
    </row>
    <row r="417" spans="14:22">
      <c r="N417" s="253"/>
      <c r="O417" s="253"/>
      <c r="P417" s="253"/>
      <c r="Q417" s="253"/>
      <c r="R417" s="253"/>
      <c r="S417" s="253"/>
      <c r="T417" s="423"/>
      <c r="U417" s="203"/>
      <c r="V417" s="253"/>
    </row>
    <row r="418" spans="14:22">
      <c r="N418" s="253"/>
      <c r="O418" s="253"/>
      <c r="P418" s="253"/>
      <c r="Q418" s="253"/>
      <c r="R418" s="253"/>
      <c r="S418" s="253"/>
      <c r="T418" s="423"/>
      <c r="U418" s="203"/>
      <c r="V418" s="253"/>
    </row>
    <row r="419" spans="14:22">
      <c r="N419" s="253"/>
      <c r="O419" s="253"/>
      <c r="P419" s="253"/>
      <c r="Q419" s="253"/>
      <c r="R419" s="253"/>
      <c r="S419" s="253"/>
      <c r="T419" s="423"/>
      <c r="U419" s="203"/>
      <c r="V419" s="253"/>
    </row>
    <row r="420" spans="14:22">
      <c r="N420" s="253"/>
      <c r="O420" s="253"/>
      <c r="P420" s="253"/>
      <c r="Q420" s="253"/>
      <c r="R420" s="253"/>
      <c r="S420" s="253"/>
      <c r="T420" s="423"/>
      <c r="U420" s="203"/>
      <c r="V420" s="253"/>
    </row>
    <row r="421" spans="14:22">
      <c r="N421" s="253"/>
      <c r="O421" s="253"/>
      <c r="P421" s="253"/>
      <c r="Q421" s="253"/>
      <c r="R421" s="253"/>
      <c r="S421" s="253"/>
      <c r="T421" s="423"/>
      <c r="U421" s="203"/>
      <c r="V421" s="253"/>
    </row>
    <row r="422" spans="14:22">
      <c r="N422" s="253"/>
      <c r="O422" s="253"/>
      <c r="P422" s="253"/>
      <c r="Q422" s="253"/>
      <c r="R422" s="253"/>
      <c r="S422" s="253"/>
      <c r="T422" s="423"/>
      <c r="U422" s="203"/>
      <c r="V422" s="253"/>
    </row>
    <row r="423" spans="14:22">
      <c r="N423" s="253"/>
      <c r="O423" s="253"/>
      <c r="P423" s="253"/>
      <c r="Q423" s="253"/>
      <c r="R423" s="253"/>
      <c r="S423" s="253"/>
      <c r="T423" s="423"/>
      <c r="U423" s="203"/>
      <c r="V423" s="253"/>
    </row>
    <row r="424" spans="14:22">
      <c r="N424" s="253"/>
      <c r="O424" s="253"/>
      <c r="P424" s="253"/>
      <c r="Q424" s="253"/>
      <c r="R424" s="253"/>
      <c r="S424" s="253"/>
      <c r="T424" s="423"/>
      <c r="U424" s="203"/>
      <c r="V424" s="253"/>
    </row>
    <row r="425" spans="14:22">
      <c r="N425" s="253"/>
      <c r="O425" s="253"/>
      <c r="P425" s="253"/>
      <c r="Q425" s="253"/>
      <c r="R425" s="253"/>
      <c r="S425" s="253"/>
      <c r="T425" s="423"/>
      <c r="U425" s="203"/>
      <c r="V425" s="253"/>
    </row>
    <row r="426" spans="14:22">
      <c r="N426" s="253"/>
      <c r="O426" s="253"/>
      <c r="P426" s="253"/>
      <c r="Q426" s="253"/>
      <c r="R426" s="253"/>
      <c r="S426" s="253"/>
      <c r="T426" s="423"/>
      <c r="U426" s="203"/>
      <c r="V426" s="253"/>
    </row>
    <row r="427" spans="14:22">
      <c r="N427" s="253"/>
      <c r="O427" s="253"/>
      <c r="P427" s="253"/>
      <c r="Q427" s="253"/>
      <c r="R427" s="253"/>
      <c r="S427" s="253"/>
      <c r="T427" s="423"/>
      <c r="U427" s="203"/>
      <c r="V427" s="253"/>
    </row>
    <row r="428" spans="14:22">
      <c r="N428" s="253"/>
      <c r="O428" s="253"/>
      <c r="P428" s="253"/>
      <c r="Q428" s="253"/>
      <c r="R428" s="253"/>
      <c r="S428" s="253"/>
      <c r="T428" s="423"/>
      <c r="U428" s="203"/>
      <c r="V428" s="253"/>
    </row>
    <row r="429" spans="14:22">
      <c r="N429" s="253"/>
      <c r="O429" s="253"/>
      <c r="P429" s="253"/>
      <c r="Q429" s="253"/>
      <c r="R429" s="253"/>
      <c r="S429" s="253"/>
      <c r="T429" s="423"/>
      <c r="U429" s="203"/>
      <c r="V429" s="253"/>
    </row>
    <row r="430" spans="14:22">
      <c r="N430" s="253"/>
      <c r="O430" s="253"/>
      <c r="P430" s="253"/>
      <c r="Q430" s="253"/>
      <c r="R430" s="253"/>
      <c r="S430" s="253"/>
      <c r="T430" s="423"/>
      <c r="U430" s="203"/>
      <c r="V430" s="253"/>
    </row>
    <row r="431" spans="14:22">
      <c r="N431" s="253"/>
      <c r="O431" s="253"/>
      <c r="P431" s="253"/>
      <c r="Q431" s="253"/>
      <c r="R431" s="253"/>
      <c r="S431" s="253"/>
      <c r="T431" s="423"/>
      <c r="U431" s="203"/>
      <c r="V431" s="253"/>
    </row>
    <row r="432" spans="14:22">
      <c r="N432" s="253"/>
      <c r="O432" s="253"/>
      <c r="P432" s="253"/>
      <c r="Q432" s="253"/>
      <c r="R432" s="253"/>
      <c r="S432" s="253"/>
      <c r="T432" s="423"/>
      <c r="U432" s="203"/>
      <c r="V432" s="253"/>
    </row>
    <row r="433" spans="14:22">
      <c r="N433" s="253"/>
      <c r="O433" s="253"/>
      <c r="P433" s="253"/>
      <c r="Q433" s="253"/>
      <c r="R433" s="253"/>
      <c r="S433" s="253"/>
      <c r="T433" s="423"/>
      <c r="U433" s="203"/>
      <c r="V433" s="253"/>
    </row>
    <row r="434" spans="14:22">
      <c r="N434" s="253"/>
      <c r="O434" s="253"/>
      <c r="P434" s="253"/>
      <c r="Q434" s="253"/>
      <c r="R434" s="253"/>
      <c r="S434" s="253"/>
      <c r="T434" s="423"/>
      <c r="U434" s="203"/>
      <c r="V434" s="253"/>
    </row>
    <row r="435" spans="14:22">
      <c r="N435" s="253"/>
      <c r="O435" s="253"/>
      <c r="P435" s="253"/>
      <c r="Q435" s="253"/>
      <c r="R435" s="253"/>
      <c r="S435" s="253"/>
      <c r="T435" s="423"/>
      <c r="U435" s="203"/>
      <c r="V435" s="253"/>
    </row>
    <row r="436" spans="14:22">
      <c r="N436" s="253"/>
      <c r="O436" s="253"/>
      <c r="P436" s="253"/>
      <c r="Q436" s="253"/>
      <c r="R436" s="253"/>
      <c r="S436" s="253"/>
      <c r="T436" s="423"/>
      <c r="U436" s="203"/>
      <c r="V436" s="253"/>
    </row>
    <row r="437" spans="14:22">
      <c r="N437" s="253"/>
      <c r="O437" s="253"/>
      <c r="P437" s="253"/>
      <c r="Q437" s="253"/>
      <c r="R437" s="253"/>
      <c r="S437" s="253"/>
      <c r="T437" s="423"/>
      <c r="U437" s="203"/>
      <c r="V437" s="253"/>
    </row>
    <row r="438" spans="14:22">
      <c r="N438" s="253"/>
      <c r="O438" s="253"/>
      <c r="P438" s="253"/>
      <c r="Q438" s="253"/>
      <c r="R438" s="253"/>
      <c r="S438" s="253"/>
      <c r="T438" s="423"/>
      <c r="U438" s="203"/>
      <c r="V438" s="253"/>
    </row>
    <row r="439" spans="14:22">
      <c r="N439" s="253"/>
      <c r="O439" s="253"/>
      <c r="P439" s="253"/>
      <c r="Q439" s="253"/>
      <c r="R439" s="253"/>
      <c r="S439" s="253"/>
      <c r="T439" s="423"/>
      <c r="U439" s="203"/>
      <c r="V439" s="253"/>
    </row>
    <row r="440" spans="14:22">
      <c r="N440" s="253"/>
      <c r="O440" s="253"/>
      <c r="P440" s="253"/>
      <c r="Q440" s="253"/>
      <c r="R440" s="253"/>
      <c r="S440" s="253"/>
      <c r="T440" s="423"/>
      <c r="U440" s="203"/>
      <c r="V440" s="253"/>
    </row>
    <row r="441" spans="14:22">
      <c r="N441" s="253"/>
      <c r="O441" s="253"/>
      <c r="P441" s="253"/>
      <c r="Q441" s="253"/>
      <c r="R441" s="253"/>
      <c r="S441" s="253"/>
      <c r="T441" s="423"/>
      <c r="U441" s="203"/>
      <c r="V441" s="253"/>
    </row>
    <row r="442" spans="14:22">
      <c r="N442" s="253"/>
      <c r="O442" s="253"/>
      <c r="P442" s="253"/>
      <c r="Q442" s="253"/>
      <c r="R442" s="253"/>
      <c r="S442" s="253"/>
      <c r="T442" s="423"/>
      <c r="U442" s="203"/>
      <c r="V442" s="253"/>
    </row>
    <row r="443" spans="14:22">
      <c r="N443" s="253"/>
      <c r="O443" s="253"/>
      <c r="P443" s="253"/>
      <c r="Q443" s="253"/>
      <c r="R443" s="253"/>
      <c r="S443" s="253"/>
      <c r="T443" s="423"/>
      <c r="U443" s="203"/>
      <c r="V443" s="253"/>
    </row>
    <row r="444" spans="14:22">
      <c r="N444" s="253"/>
      <c r="O444" s="253"/>
      <c r="P444" s="253"/>
      <c r="Q444" s="253"/>
      <c r="R444" s="253"/>
      <c r="S444" s="253"/>
      <c r="T444" s="423"/>
      <c r="U444" s="203"/>
      <c r="V444" s="253"/>
    </row>
    <row r="445" spans="14:22">
      <c r="N445" s="253"/>
      <c r="O445" s="253"/>
      <c r="P445" s="253"/>
      <c r="Q445" s="253"/>
      <c r="R445" s="253"/>
      <c r="S445" s="253"/>
      <c r="T445" s="423"/>
      <c r="U445" s="203"/>
      <c r="V445" s="253"/>
    </row>
    <row r="446" spans="14:22">
      <c r="N446" s="253"/>
      <c r="O446" s="253"/>
      <c r="P446" s="253"/>
      <c r="Q446" s="253"/>
      <c r="R446" s="253"/>
      <c r="S446" s="253"/>
      <c r="T446" s="423"/>
      <c r="U446" s="203"/>
      <c r="V446" s="253"/>
    </row>
    <row r="447" spans="14:22">
      <c r="N447" s="253"/>
      <c r="O447" s="253"/>
      <c r="P447" s="253"/>
      <c r="Q447" s="253"/>
      <c r="R447" s="253"/>
      <c r="S447" s="253"/>
      <c r="T447" s="423"/>
      <c r="U447" s="203"/>
      <c r="V447" s="253"/>
    </row>
    <row r="448" spans="14:22">
      <c r="N448" s="253"/>
      <c r="O448" s="253"/>
      <c r="P448" s="253"/>
      <c r="Q448" s="253"/>
      <c r="R448" s="253"/>
      <c r="S448" s="253"/>
      <c r="T448" s="423"/>
      <c r="U448" s="203"/>
      <c r="V448" s="253"/>
    </row>
    <row r="449" spans="14:22">
      <c r="N449" s="253"/>
      <c r="O449" s="253"/>
      <c r="P449" s="253"/>
      <c r="Q449" s="253"/>
      <c r="R449" s="253"/>
      <c r="S449" s="253"/>
      <c r="T449" s="423"/>
      <c r="U449" s="203"/>
      <c r="V449" s="253"/>
    </row>
    <row r="450" spans="14:22">
      <c r="N450" s="253"/>
      <c r="O450" s="253"/>
      <c r="P450" s="253"/>
      <c r="Q450" s="253"/>
      <c r="R450" s="253"/>
      <c r="S450" s="253"/>
      <c r="T450" s="423"/>
      <c r="U450" s="203"/>
      <c r="V450" s="253"/>
    </row>
    <row r="451" spans="14:22">
      <c r="N451" s="253"/>
      <c r="O451" s="253"/>
      <c r="P451" s="253"/>
      <c r="Q451" s="253"/>
      <c r="R451" s="253"/>
      <c r="S451" s="253"/>
      <c r="T451" s="423"/>
      <c r="U451" s="203"/>
      <c r="V451" s="253"/>
    </row>
    <row r="452" spans="14:22">
      <c r="N452" s="253"/>
      <c r="O452" s="253"/>
      <c r="P452" s="253"/>
      <c r="Q452" s="253"/>
      <c r="R452" s="253"/>
      <c r="S452" s="253"/>
      <c r="T452" s="423"/>
      <c r="U452" s="203"/>
      <c r="V452" s="253"/>
    </row>
    <row r="453" spans="14:22">
      <c r="N453" s="253"/>
      <c r="O453" s="253"/>
      <c r="P453" s="253"/>
      <c r="Q453" s="253"/>
      <c r="R453" s="253"/>
      <c r="S453" s="253"/>
      <c r="T453" s="423"/>
      <c r="U453" s="203"/>
      <c r="V453" s="253"/>
    </row>
    <row r="454" spans="14:22">
      <c r="N454" s="253"/>
      <c r="O454" s="253"/>
      <c r="P454" s="253"/>
      <c r="Q454" s="253"/>
      <c r="R454" s="253"/>
      <c r="S454" s="253"/>
      <c r="T454" s="423"/>
      <c r="U454" s="203"/>
      <c r="V454" s="253"/>
    </row>
    <row r="455" spans="14:22">
      <c r="N455" s="253"/>
      <c r="O455" s="253"/>
      <c r="P455" s="253"/>
      <c r="Q455" s="253"/>
      <c r="R455" s="253"/>
      <c r="S455" s="253"/>
      <c r="T455" s="423"/>
      <c r="U455" s="203"/>
      <c r="V455" s="253"/>
    </row>
    <row r="456" spans="14:22">
      <c r="N456" s="253"/>
      <c r="O456" s="253"/>
      <c r="P456" s="253"/>
      <c r="Q456" s="253"/>
      <c r="R456" s="253"/>
      <c r="S456" s="253"/>
      <c r="T456" s="423"/>
      <c r="U456" s="203"/>
      <c r="V456" s="253"/>
    </row>
    <row r="457" spans="14:22">
      <c r="N457" s="253"/>
      <c r="O457" s="253"/>
      <c r="P457" s="253"/>
      <c r="Q457" s="253"/>
      <c r="R457" s="253"/>
      <c r="S457" s="253"/>
      <c r="T457" s="423"/>
      <c r="U457" s="203"/>
      <c r="V457" s="253"/>
    </row>
    <row r="458" spans="14:22">
      <c r="N458" s="253"/>
      <c r="O458" s="253"/>
      <c r="P458" s="253"/>
      <c r="Q458" s="253"/>
      <c r="R458" s="253"/>
      <c r="S458" s="253"/>
      <c r="T458" s="423"/>
      <c r="U458" s="203"/>
      <c r="V458" s="253"/>
    </row>
    <row r="459" spans="14:22">
      <c r="N459" s="253"/>
      <c r="O459" s="253"/>
      <c r="P459" s="253"/>
      <c r="Q459" s="253"/>
      <c r="R459" s="253"/>
      <c r="S459" s="253"/>
      <c r="T459" s="423"/>
      <c r="U459" s="203"/>
      <c r="V459" s="253"/>
    </row>
    <row r="460" spans="14:22">
      <c r="N460" s="253"/>
      <c r="O460" s="253"/>
      <c r="P460" s="253"/>
      <c r="Q460" s="253"/>
      <c r="R460" s="253"/>
      <c r="S460" s="253"/>
      <c r="T460" s="423"/>
      <c r="U460" s="203"/>
      <c r="V460" s="253"/>
    </row>
    <row r="461" spans="14:22">
      <c r="N461" s="253"/>
      <c r="O461" s="253"/>
      <c r="P461" s="253"/>
      <c r="Q461" s="253"/>
      <c r="R461" s="253"/>
      <c r="S461" s="253"/>
      <c r="T461" s="423"/>
      <c r="U461" s="203"/>
      <c r="V461" s="253"/>
    </row>
    <row r="462" spans="14:22">
      <c r="N462" s="253"/>
      <c r="O462" s="253"/>
      <c r="P462" s="253"/>
      <c r="Q462" s="253"/>
      <c r="R462" s="253"/>
      <c r="S462" s="253"/>
      <c r="T462" s="423"/>
      <c r="U462" s="203"/>
      <c r="V462" s="253"/>
    </row>
    <row r="463" spans="14:22">
      <c r="N463" s="253"/>
      <c r="O463" s="253"/>
      <c r="P463" s="253"/>
      <c r="Q463" s="253"/>
      <c r="R463" s="253"/>
      <c r="S463" s="253"/>
      <c r="T463" s="423"/>
      <c r="U463" s="203"/>
      <c r="V463" s="253"/>
    </row>
    <row r="464" spans="14:22">
      <c r="N464" s="253"/>
      <c r="O464" s="253"/>
      <c r="P464" s="253"/>
      <c r="Q464" s="253"/>
      <c r="R464" s="253"/>
      <c r="S464" s="253"/>
      <c r="T464" s="423"/>
      <c r="U464" s="203"/>
      <c r="V464" s="253"/>
    </row>
    <row r="465" spans="14:22">
      <c r="N465" s="253"/>
      <c r="O465" s="253"/>
      <c r="P465" s="253"/>
      <c r="Q465" s="253"/>
      <c r="R465" s="253"/>
      <c r="S465" s="253"/>
      <c r="T465" s="423"/>
      <c r="U465" s="203"/>
      <c r="V465" s="253"/>
    </row>
    <row r="466" spans="14:22">
      <c r="N466" s="253"/>
      <c r="O466" s="253"/>
      <c r="P466" s="253"/>
      <c r="Q466" s="253"/>
      <c r="R466" s="253"/>
      <c r="S466" s="253"/>
      <c r="T466" s="423"/>
      <c r="U466" s="203"/>
      <c r="V466" s="253"/>
    </row>
    <row r="467" spans="14:22">
      <c r="N467" s="253"/>
      <c r="O467" s="253"/>
      <c r="P467" s="253"/>
      <c r="Q467" s="253"/>
      <c r="R467" s="253"/>
      <c r="S467" s="253"/>
      <c r="T467" s="423"/>
      <c r="U467" s="203"/>
      <c r="V467" s="253"/>
    </row>
    <row r="468" spans="14:22">
      <c r="N468" s="253"/>
      <c r="O468" s="253"/>
      <c r="P468" s="253"/>
      <c r="Q468" s="253"/>
      <c r="R468" s="253"/>
      <c r="S468" s="253"/>
      <c r="T468" s="423"/>
      <c r="U468" s="203"/>
      <c r="V468" s="253"/>
    </row>
    <row r="469" spans="14:22">
      <c r="N469" s="253"/>
      <c r="O469" s="253"/>
      <c r="P469" s="253"/>
      <c r="Q469" s="253"/>
      <c r="R469" s="253"/>
      <c r="S469" s="253"/>
      <c r="T469" s="423"/>
      <c r="U469" s="203"/>
      <c r="V469" s="253"/>
    </row>
    <row r="470" spans="14:22">
      <c r="N470" s="253"/>
      <c r="O470" s="253"/>
      <c r="P470" s="253"/>
      <c r="Q470" s="253"/>
      <c r="R470" s="253"/>
      <c r="S470" s="253"/>
      <c r="T470" s="423"/>
      <c r="U470" s="203"/>
      <c r="V470" s="253"/>
    </row>
    <row r="471" spans="14:22">
      <c r="N471" s="253"/>
      <c r="O471" s="253"/>
      <c r="P471" s="253"/>
      <c r="Q471" s="253"/>
      <c r="R471" s="253"/>
      <c r="S471" s="253"/>
      <c r="T471" s="423"/>
      <c r="U471" s="203"/>
      <c r="V471" s="253"/>
    </row>
    <row r="472" spans="14:22">
      <c r="N472" s="253"/>
      <c r="O472" s="253"/>
      <c r="P472" s="253"/>
      <c r="Q472" s="253"/>
      <c r="R472" s="253"/>
      <c r="S472" s="253"/>
      <c r="T472" s="423"/>
      <c r="U472" s="203"/>
      <c r="V472" s="253"/>
    </row>
    <row r="473" spans="14:22">
      <c r="N473" s="253"/>
      <c r="O473" s="253"/>
      <c r="P473" s="253"/>
      <c r="Q473" s="253"/>
      <c r="R473" s="253"/>
      <c r="S473" s="253"/>
      <c r="T473" s="423"/>
      <c r="U473" s="203"/>
      <c r="V473" s="253"/>
    </row>
    <row r="474" spans="14:22">
      <c r="N474" s="253"/>
      <c r="O474" s="253"/>
      <c r="P474" s="253"/>
      <c r="Q474" s="253"/>
      <c r="R474" s="253"/>
      <c r="S474" s="253"/>
      <c r="T474" s="423"/>
      <c r="U474" s="203"/>
      <c r="V474" s="253"/>
    </row>
    <row r="475" spans="14:22">
      <c r="N475" s="253"/>
      <c r="O475" s="253"/>
      <c r="P475" s="253"/>
      <c r="Q475" s="253"/>
      <c r="R475" s="253"/>
      <c r="S475" s="253"/>
      <c r="T475" s="423"/>
      <c r="U475" s="203"/>
      <c r="V475" s="253"/>
    </row>
    <row r="476" spans="14:22">
      <c r="N476" s="253"/>
      <c r="O476" s="253"/>
      <c r="P476" s="253"/>
      <c r="Q476" s="253"/>
      <c r="R476" s="253"/>
      <c r="S476" s="253"/>
      <c r="T476" s="423"/>
      <c r="U476" s="203"/>
      <c r="V476" s="253"/>
    </row>
    <row r="477" spans="14:22">
      <c r="N477" s="253"/>
      <c r="O477" s="253"/>
      <c r="P477" s="253"/>
      <c r="Q477" s="253"/>
      <c r="R477" s="253"/>
      <c r="S477" s="253"/>
      <c r="T477" s="423"/>
      <c r="U477" s="203"/>
      <c r="V477" s="253"/>
    </row>
    <row r="478" spans="14:22">
      <c r="N478" s="253"/>
      <c r="O478" s="253"/>
      <c r="P478" s="253"/>
      <c r="Q478" s="253"/>
      <c r="R478" s="253"/>
      <c r="S478" s="253"/>
      <c r="T478" s="423"/>
      <c r="U478" s="203"/>
      <c r="V478" s="253"/>
    </row>
    <row r="479" spans="14:22">
      <c r="N479" s="253"/>
      <c r="O479" s="253"/>
      <c r="P479" s="253"/>
      <c r="Q479" s="253"/>
      <c r="R479" s="253"/>
      <c r="S479" s="253"/>
      <c r="T479" s="423"/>
      <c r="U479" s="203"/>
      <c r="V479" s="253"/>
    </row>
    <row r="480" spans="14:22">
      <c r="N480" s="253"/>
      <c r="O480" s="253"/>
      <c r="P480" s="253"/>
      <c r="Q480" s="253"/>
      <c r="R480" s="253"/>
      <c r="S480" s="253"/>
      <c r="T480" s="423"/>
      <c r="U480" s="203"/>
      <c r="V480" s="253"/>
    </row>
    <row r="481" spans="14:22">
      <c r="N481" s="253"/>
      <c r="O481" s="253"/>
      <c r="P481" s="253"/>
      <c r="Q481" s="253"/>
      <c r="R481" s="253"/>
      <c r="S481" s="253"/>
      <c r="T481" s="423"/>
      <c r="U481" s="203"/>
      <c r="V481" s="253"/>
    </row>
    <row r="482" spans="14:22">
      <c r="N482" s="253"/>
      <c r="O482" s="253"/>
      <c r="P482" s="253"/>
      <c r="Q482" s="253"/>
      <c r="R482" s="253"/>
      <c r="S482" s="253"/>
      <c r="T482" s="423"/>
      <c r="U482" s="203"/>
      <c r="V482" s="253"/>
    </row>
    <row r="483" spans="14:22">
      <c r="N483" s="253"/>
      <c r="O483" s="253"/>
      <c r="P483" s="253"/>
      <c r="Q483" s="253"/>
      <c r="R483" s="253"/>
      <c r="S483" s="253"/>
      <c r="T483" s="423"/>
      <c r="U483" s="203"/>
      <c r="V483" s="253"/>
    </row>
    <row r="484" spans="14:22">
      <c r="N484" s="253"/>
      <c r="O484" s="253"/>
      <c r="P484" s="253"/>
      <c r="Q484" s="253"/>
      <c r="R484" s="253"/>
      <c r="S484" s="253"/>
      <c r="T484" s="423"/>
      <c r="U484" s="203"/>
      <c r="V484" s="253"/>
    </row>
    <row r="485" spans="14:22">
      <c r="N485" s="253"/>
      <c r="O485" s="253"/>
      <c r="P485" s="253"/>
      <c r="Q485" s="253"/>
      <c r="R485" s="253"/>
      <c r="S485" s="253"/>
      <c r="T485" s="423"/>
      <c r="U485" s="203"/>
      <c r="V485" s="253"/>
    </row>
    <row r="486" spans="14:22">
      <c r="N486" s="253"/>
      <c r="O486" s="253"/>
      <c r="P486" s="253"/>
      <c r="Q486" s="253"/>
      <c r="R486" s="253"/>
      <c r="S486" s="253"/>
      <c r="T486" s="423"/>
      <c r="U486" s="203"/>
      <c r="V486" s="253"/>
    </row>
    <row r="487" spans="14:22">
      <c r="N487" s="253"/>
      <c r="O487" s="253"/>
      <c r="P487" s="253"/>
      <c r="Q487" s="253"/>
      <c r="R487" s="253"/>
      <c r="S487" s="253"/>
      <c r="T487" s="423"/>
      <c r="U487" s="203"/>
      <c r="V487" s="253"/>
    </row>
    <row r="488" spans="14:22">
      <c r="N488" s="253"/>
      <c r="O488" s="253"/>
      <c r="P488" s="253"/>
      <c r="Q488" s="253"/>
      <c r="R488" s="253"/>
      <c r="S488" s="253"/>
      <c r="T488" s="423"/>
      <c r="U488" s="203"/>
      <c r="V488" s="253"/>
    </row>
    <row r="489" spans="14:22">
      <c r="N489" s="253"/>
      <c r="O489" s="253"/>
      <c r="P489" s="253"/>
      <c r="Q489" s="253"/>
      <c r="R489" s="253"/>
      <c r="S489" s="253"/>
      <c r="T489" s="423"/>
      <c r="U489" s="203"/>
      <c r="V489" s="253"/>
    </row>
    <row r="490" spans="14:22">
      <c r="N490" s="253"/>
      <c r="O490" s="253"/>
      <c r="P490" s="253"/>
      <c r="Q490" s="253"/>
      <c r="R490" s="253"/>
      <c r="S490" s="253"/>
      <c r="T490" s="423"/>
      <c r="U490" s="203"/>
      <c r="V490" s="253"/>
    </row>
    <row r="491" spans="14:22">
      <c r="N491" s="253"/>
      <c r="O491" s="253"/>
      <c r="P491" s="253"/>
      <c r="Q491" s="253"/>
      <c r="R491" s="253"/>
      <c r="S491" s="253"/>
      <c r="T491" s="423"/>
      <c r="U491" s="203"/>
      <c r="V491" s="253"/>
    </row>
    <row r="492" spans="14:22">
      <c r="N492" s="253"/>
      <c r="O492" s="253"/>
      <c r="P492" s="253"/>
      <c r="Q492" s="253"/>
      <c r="R492" s="253"/>
      <c r="S492" s="253"/>
      <c r="T492" s="423"/>
      <c r="U492" s="203"/>
      <c r="V492" s="253"/>
    </row>
    <row r="493" spans="14:22">
      <c r="N493" s="253"/>
      <c r="O493" s="253"/>
      <c r="P493" s="253"/>
      <c r="Q493" s="253"/>
      <c r="R493" s="253"/>
      <c r="S493" s="253"/>
      <c r="T493" s="423"/>
      <c r="U493" s="203"/>
      <c r="V493" s="253"/>
    </row>
    <row r="494" spans="14:22">
      <c r="N494" s="253"/>
      <c r="O494" s="253"/>
      <c r="P494" s="253"/>
      <c r="Q494" s="253"/>
      <c r="R494" s="253"/>
      <c r="S494" s="253"/>
      <c r="T494" s="423"/>
      <c r="U494" s="203"/>
      <c r="V494" s="253"/>
    </row>
    <row r="495" spans="14:22">
      <c r="N495" s="253"/>
      <c r="O495" s="253"/>
      <c r="P495" s="253"/>
      <c r="Q495" s="253"/>
      <c r="R495" s="253"/>
      <c r="S495" s="253"/>
      <c r="T495" s="423"/>
      <c r="U495" s="203"/>
      <c r="V495" s="253"/>
    </row>
    <row r="496" spans="14:22">
      <c r="N496" s="253"/>
      <c r="O496" s="253"/>
      <c r="P496" s="253"/>
      <c r="Q496" s="253"/>
      <c r="R496" s="253"/>
      <c r="S496" s="253"/>
      <c r="T496" s="423"/>
      <c r="U496" s="203"/>
      <c r="V496" s="253"/>
    </row>
    <row r="497" spans="14:22">
      <c r="N497" s="253"/>
      <c r="O497" s="253"/>
      <c r="P497" s="253"/>
      <c r="Q497" s="253"/>
      <c r="R497" s="253"/>
      <c r="S497" s="253"/>
      <c r="T497" s="423"/>
      <c r="U497" s="203"/>
      <c r="V497" s="253"/>
    </row>
    <row r="498" spans="14:22">
      <c r="N498" s="253"/>
      <c r="O498" s="253"/>
      <c r="P498" s="253"/>
      <c r="Q498" s="253"/>
      <c r="R498" s="253"/>
      <c r="S498" s="253"/>
      <c r="T498" s="423"/>
      <c r="U498" s="203"/>
      <c r="V498" s="253"/>
    </row>
    <row r="499" spans="14:22">
      <c r="N499" s="253"/>
      <c r="O499" s="253"/>
      <c r="P499" s="253"/>
      <c r="Q499" s="253"/>
      <c r="R499" s="253"/>
      <c r="S499" s="253"/>
      <c r="T499" s="423"/>
      <c r="U499" s="203"/>
      <c r="V499" s="253"/>
    </row>
    <row r="500" spans="14:22">
      <c r="N500" s="253"/>
      <c r="O500" s="253"/>
      <c r="P500" s="253"/>
      <c r="Q500" s="253"/>
      <c r="R500" s="253"/>
      <c r="S500" s="253"/>
      <c r="T500" s="423"/>
      <c r="U500" s="203"/>
      <c r="V500" s="253"/>
    </row>
    <row r="501" spans="14:22">
      <c r="N501" s="253"/>
      <c r="O501" s="253"/>
      <c r="P501" s="253"/>
      <c r="Q501" s="253"/>
      <c r="R501" s="253"/>
      <c r="S501" s="253"/>
      <c r="T501" s="423"/>
      <c r="U501" s="203"/>
      <c r="V501" s="253"/>
    </row>
    <row r="502" spans="14:22">
      <c r="N502" s="253"/>
      <c r="O502" s="253"/>
      <c r="P502" s="253"/>
      <c r="Q502" s="253"/>
      <c r="R502" s="253"/>
      <c r="S502" s="253"/>
      <c r="T502" s="423"/>
      <c r="U502" s="203"/>
      <c r="V502" s="253"/>
    </row>
    <row r="503" spans="14:22">
      <c r="N503" s="253"/>
      <c r="O503" s="253"/>
      <c r="P503" s="253"/>
      <c r="Q503" s="253"/>
      <c r="R503" s="253"/>
      <c r="S503" s="253"/>
      <c r="T503" s="423"/>
      <c r="U503" s="203"/>
      <c r="V503" s="253"/>
    </row>
    <row r="504" spans="14:22">
      <c r="N504" s="253"/>
      <c r="O504" s="253"/>
      <c r="P504" s="253"/>
      <c r="Q504" s="253"/>
      <c r="R504" s="253"/>
      <c r="S504" s="253"/>
      <c r="T504" s="423"/>
      <c r="U504" s="203"/>
      <c r="V504" s="253"/>
    </row>
    <row r="505" spans="14:22">
      <c r="N505" s="253"/>
      <c r="O505" s="253"/>
      <c r="P505" s="253"/>
      <c r="Q505" s="253"/>
      <c r="R505" s="253"/>
      <c r="S505" s="253"/>
      <c r="T505" s="423"/>
      <c r="U505" s="203"/>
      <c r="V505" s="253"/>
    </row>
    <row r="506" spans="14:22">
      <c r="N506" s="253"/>
      <c r="O506" s="253"/>
      <c r="P506" s="253"/>
      <c r="Q506" s="253"/>
      <c r="R506" s="253"/>
      <c r="S506" s="253"/>
      <c r="T506" s="423"/>
      <c r="U506" s="203"/>
      <c r="V506" s="253"/>
    </row>
    <row r="507" spans="14:22">
      <c r="N507" s="253"/>
      <c r="O507" s="253"/>
      <c r="P507" s="253"/>
      <c r="Q507" s="253"/>
      <c r="R507" s="253"/>
      <c r="S507" s="253"/>
      <c r="T507" s="423"/>
      <c r="U507" s="203"/>
      <c r="V507" s="253"/>
    </row>
    <row r="508" spans="14:22">
      <c r="N508" s="253"/>
      <c r="O508" s="253"/>
      <c r="P508" s="253"/>
      <c r="Q508" s="253"/>
      <c r="R508" s="253"/>
      <c r="S508" s="253"/>
      <c r="T508" s="423"/>
      <c r="U508" s="203"/>
      <c r="V508" s="253"/>
    </row>
    <row r="509" spans="14:22">
      <c r="N509" s="253"/>
      <c r="O509" s="253"/>
      <c r="P509" s="253"/>
      <c r="Q509" s="253"/>
      <c r="R509" s="253"/>
      <c r="S509" s="253"/>
      <c r="T509" s="423"/>
      <c r="U509" s="203"/>
      <c r="V509" s="253"/>
    </row>
    <row r="510" spans="14:22">
      <c r="N510" s="253"/>
      <c r="O510" s="253"/>
      <c r="P510" s="253"/>
      <c r="Q510" s="253"/>
      <c r="R510" s="253"/>
      <c r="S510" s="253"/>
      <c r="T510" s="423"/>
      <c r="U510" s="203"/>
      <c r="V510" s="253"/>
    </row>
    <row r="511" spans="14:22">
      <c r="N511" s="253"/>
      <c r="O511" s="253"/>
      <c r="P511" s="253"/>
      <c r="Q511" s="253"/>
      <c r="R511" s="253"/>
      <c r="S511" s="253"/>
      <c r="T511" s="423"/>
      <c r="U511" s="203"/>
      <c r="V511" s="253"/>
    </row>
    <row r="512" spans="14:22">
      <c r="N512" s="253"/>
      <c r="O512" s="253"/>
      <c r="P512" s="253"/>
      <c r="Q512" s="253"/>
      <c r="R512" s="253"/>
      <c r="S512" s="253"/>
      <c r="T512" s="423"/>
      <c r="U512" s="203"/>
      <c r="V512" s="253"/>
    </row>
  </sheetData>
  <sheetProtection formatCells="0"/>
  <mergeCells count="54">
    <mergeCell ref="H1:T1"/>
    <mergeCell ref="J14:M14"/>
    <mergeCell ref="G4:M4"/>
    <mergeCell ref="G5:M5"/>
    <mergeCell ref="G6:M6"/>
    <mergeCell ref="H7:M7"/>
    <mergeCell ref="H8:M8"/>
    <mergeCell ref="J9:M9"/>
    <mergeCell ref="H10:M10"/>
    <mergeCell ref="H11:M11"/>
    <mergeCell ref="H12:M12"/>
    <mergeCell ref="H13:M13"/>
    <mergeCell ref="G16:M16"/>
    <mergeCell ref="H17:M17"/>
    <mergeCell ref="H18:M18"/>
    <mergeCell ref="H19:M19"/>
    <mergeCell ref="H20:M20"/>
    <mergeCell ref="H29:M29"/>
    <mergeCell ref="H30:M30"/>
    <mergeCell ref="H31:M31"/>
    <mergeCell ref="G28:M28"/>
    <mergeCell ref="H21:M21"/>
    <mergeCell ref="H22:M22"/>
    <mergeCell ref="H23:M23"/>
    <mergeCell ref="J24:M24"/>
    <mergeCell ref="G26:M26"/>
    <mergeCell ref="H32:M32"/>
    <mergeCell ref="G54:M54"/>
    <mergeCell ref="G55:M55"/>
    <mergeCell ref="H56:M56"/>
    <mergeCell ref="H41:M41"/>
    <mergeCell ref="I35:M35"/>
    <mergeCell ref="J36:M36"/>
    <mergeCell ref="J37:M37"/>
    <mergeCell ref="G40:M40"/>
    <mergeCell ref="G39:M39"/>
    <mergeCell ref="I33:M33"/>
    <mergeCell ref="I34:M34"/>
    <mergeCell ref="U1:V1"/>
    <mergeCell ref="H63:V63"/>
    <mergeCell ref="G60:M60"/>
    <mergeCell ref="H50:M50"/>
    <mergeCell ref="H51:M51"/>
    <mergeCell ref="H42:M42"/>
    <mergeCell ref="H57:M57"/>
    <mergeCell ref="H58:M58"/>
    <mergeCell ref="H59:M59"/>
    <mergeCell ref="J43:M43"/>
    <mergeCell ref="G45:M45"/>
    <mergeCell ref="G46:M46"/>
    <mergeCell ref="H47:M47"/>
    <mergeCell ref="H48:M48"/>
    <mergeCell ref="H49:M49"/>
    <mergeCell ref="G52:M52"/>
  </mergeCells>
  <conditionalFormatting sqref="N70:V70">
    <cfRule type="cellIs" dxfId="5" priority="2" operator="equal">
      <formula>"ERROR"</formula>
    </cfRule>
  </conditionalFormatting>
  <pageMargins left="0.15" right="0.15" top="0.15" bottom="0.15" header="0" footer="0.15"/>
  <pageSetup scale="64" orientation="landscape" cellComments="asDisplayed" r:id="rId1"/>
  <headerFooter differentFirst="1" alignWithMargins="0">
    <oddFooter>Page &amp;P of &amp;N</oddFooter>
  </headerFooter>
  <rowBreaks count="1" manualBreakCount="1">
    <brk id="64" max="16383" man="1"/>
  </rowBreaks>
  <customProperties>
    <customPr name="AdaptiveCustomXmlPartId" r:id="rId2"/>
    <customPr name="AdaptiveReportingSheetKey" r:id="rId3"/>
    <customPr name="CurrentId" r:id="rId4"/>
    <customPr name="isReportSheetChanged" r:id="rId5"/>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562E-FED2-492F-835C-015A2FFD3591}">
  <sheetPr>
    <pageSetUpPr fitToPage="1"/>
  </sheetPr>
  <dimension ref="A1:AM72"/>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4" width="9.109375" style="145"/>
    <col min="5" max="5" width="10.5546875" style="145" bestFit="1" customWidth="1"/>
    <col min="6" max="6" width="9.109375" style="145"/>
    <col min="7" max="7" width="4.109375" style="892" customWidth="1"/>
    <col min="8" max="12" width="4.109375" style="146" customWidth="1"/>
    <col min="13" max="13" width="50.6640625" style="146" customWidth="1"/>
    <col min="14" max="18" width="12.44140625" style="146" customWidth="1"/>
    <col min="19" max="20" width="12.44140625" style="294" customWidth="1"/>
    <col min="21" max="21" width="12.44140625" style="146" customWidth="1"/>
    <col min="22" max="23" width="0.88671875" style="146" customWidth="1"/>
    <col min="24" max="24" width="11.6640625" style="146" customWidth="1"/>
    <col min="25" max="25" width="9.109375" style="641" customWidth="1"/>
    <col min="26" max="27" width="0.88671875" style="146" customWidth="1"/>
    <col min="28" max="28" width="14" style="146" bestFit="1" customWidth="1"/>
    <col min="29" max="29" width="12.6640625" style="146" customWidth="1"/>
    <col min="30" max="31" width="0.88671875" style="146" customWidth="1"/>
    <col min="32" max="32" width="11.6640625" style="146" customWidth="1"/>
    <col min="33" max="33" width="8.5546875" style="641"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671</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Y2" s="684"/>
      <c r="AG2" s="684"/>
      <c r="AH2" s="661"/>
    </row>
    <row r="3" spans="1:39" s="654" customFormat="1" ht="14.4">
      <c r="A3" s="656"/>
      <c r="B3" s="656"/>
      <c r="C3" s="656"/>
      <c r="D3" s="656"/>
      <c r="E3" s="656"/>
      <c r="F3" s="656"/>
      <c r="G3" s="892"/>
      <c r="H3" s="146"/>
      <c r="I3" s="146"/>
      <c r="J3" s="146"/>
      <c r="K3" s="146"/>
      <c r="L3" s="146"/>
      <c r="M3" s="146"/>
      <c r="N3" s="657"/>
      <c r="O3" s="657"/>
      <c r="P3" s="657"/>
      <c r="Q3" s="657"/>
      <c r="R3" s="657"/>
      <c r="S3" s="657"/>
      <c r="T3" s="657"/>
      <c r="U3" s="657"/>
      <c r="V3" s="658"/>
      <c r="W3" s="655"/>
      <c r="X3" s="1145" t="str">
        <f>+_xlfn.CONCAT("YOY ",LEFT(Manual!$D$1,2))</f>
        <v>YOY Q2</v>
      </c>
      <c r="Y3" s="1145"/>
      <c r="Z3" s="659"/>
      <c r="AA3" s="655"/>
      <c r="AB3" s="655"/>
      <c r="AC3" s="655"/>
      <c r="AD3" s="658"/>
      <c r="AE3" s="660"/>
      <c r="AF3" s="1145" t="s">
        <v>153</v>
      </c>
      <c r="AG3" s="1145"/>
      <c r="AH3" s="661"/>
    </row>
    <row r="4" spans="1:39" s="654" customFormat="1" ht="30" customHeight="1">
      <c r="A4" s="656"/>
      <c r="B4" s="656"/>
      <c r="C4" s="656"/>
      <c r="D4" s="656"/>
      <c r="E4" s="656"/>
      <c r="F4" s="656"/>
      <c r="G4" s="1144" t="s">
        <v>167</v>
      </c>
      <c r="H4" s="1144"/>
      <c r="I4" s="1144"/>
      <c r="J4" s="1144"/>
      <c r="K4" s="1144"/>
      <c r="L4" s="1144"/>
      <c r="M4" s="1144"/>
      <c r="N4" s="663" t="str">
        <f>+IS!N4</f>
        <v>Q1
2025</v>
      </c>
      <c r="O4" s="662" t="str">
        <f>+IS!O4</f>
        <v>Q2
2025</v>
      </c>
      <c r="P4" s="662" t="str">
        <f>+IS!P4</f>
        <v>Q3
2025</v>
      </c>
      <c r="Q4" s="664" t="str">
        <f>+IS!Q4</f>
        <v>Q4
2025</v>
      </c>
      <c r="R4" s="663" t="str">
        <f>+IS!R4</f>
        <v>Q1
2026</v>
      </c>
      <c r="S4" s="662" t="str">
        <f>+IS!S4</f>
        <v>Q2
2026</v>
      </c>
      <c r="T4" s="662" t="str">
        <f>+IS!T4</f>
        <v>Q3
2026</v>
      </c>
      <c r="U4" s="662" t="str">
        <f>+IS!U4</f>
        <v>Q4
2026</v>
      </c>
      <c r="V4" s="658"/>
      <c r="W4" s="655"/>
      <c r="X4" s="662" t="s">
        <v>151</v>
      </c>
      <c r="Y4" s="662" t="s">
        <v>152</v>
      </c>
      <c r="Z4" s="659"/>
      <c r="AA4" s="655"/>
      <c r="AB4" s="662" t="str">
        <f>+_xlfn.CONCAT("YTD ",RIGHT(Q4,4))</f>
        <v>YTD 2025</v>
      </c>
      <c r="AC4" s="662" t="str">
        <f>+_xlfn.CONCAT("YTD ",RIGHT(U4,4))</f>
        <v>YTD 2026</v>
      </c>
      <c r="AD4" s="658"/>
      <c r="AE4" s="660"/>
      <c r="AF4" s="662" t="s">
        <v>151</v>
      </c>
      <c r="AG4" s="662" t="s">
        <v>152</v>
      </c>
      <c r="AH4" s="661"/>
    </row>
    <row r="5" spans="1:39" ht="15" customHeight="1">
      <c r="G5" s="1136" t="s">
        <v>168</v>
      </c>
      <c r="H5" s="1136"/>
      <c r="I5" s="1136"/>
      <c r="J5" s="1136"/>
      <c r="K5" s="1136"/>
      <c r="L5" s="1136"/>
      <c r="M5" s="1136"/>
      <c r="N5" s="1021"/>
      <c r="O5" s="1022"/>
      <c r="P5" s="1022"/>
      <c r="Q5" s="1023"/>
      <c r="R5" s="1048"/>
      <c r="S5" s="1026"/>
      <c r="T5" s="1026"/>
      <c r="U5" s="346"/>
      <c r="V5" s="261"/>
      <c r="W5" s="147"/>
      <c r="X5" s="150"/>
      <c r="Y5" s="642"/>
      <c r="Z5" s="336"/>
      <c r="AA5" s="147"/>
      <c r="AB5" s="147"/>
      <c r="AC5" s="150"/>
      <c r="AD5" s="345"/>
      <c r="AE5" s="159"/>
      <c r="AF5" s="150"/>
      <c r="AG5" s="639"/>
      <c r="AH5"/>
    </row>
    <row r="6" spans="1:39" ht="15" customHeight="1">
      <c r="G6" s="1133" t="s">
        <v>169</v>
      </c>
      <c r="H6" s="1133"/>
      <c r="I6" s="1133"/>
      <c r="J6" s="1133"/>
      <c r="K6" s="1133"/>
      <c r="L6" s="1133"/>
      <c r="M6" s="1133"/>
      <c r="N6" s="154"/>
      <c r="O6" s="153"/>
      <c r="P6" s="153"/>
      <c r="Q6" s="318"/>
      <c r="R6" s="154"/>
      <c r="S6" s="153"/>
      <c r="T6" s="153"/>
      <c r="U6" s="153"/>
      <c r="V6" s="345"/>
      <c r="W6" s="147"/>
      <c r="X6" s="147"/>
      <c r="Y6" s="639"/>
      <c r="Z6" s="255"/>
      <c r="AA6" s="147"/>
      <c r="AB6" s="147"/>
      <c r="AC6" s="1011"/>
      <c r="AD6" s="345"/>
      <c r="AE6" s="159"/>
      <c r="AF6" s="153"/>
      <c r="AG6" s="639"/>
      <c r="AH6"/>
    </row>
    <row r="7" spans="1:39" s="592" customFormat="1" ht="15" customHeight="1">
      <c r="A7" s="145"/>
      <c r="B7" s="582"/>
      <c r="C7" s="582"/>
      <c r="D7" s="582"/>
      <c r="E7" s="582"/>
      <c r="F7" s="582"/>
      <c r="G7" s="963"/>
      <c r="H7" s="1133" t="s">
        <v>170</v>
      </c>
      <c r="I7" s="1133"/>
      <c r="J7" s="1133"/>
      <c r="K7" s="1133"/>
      <c r="L7" s="1133"/>
      <c r="M7" s="1133"/>
      <c r="N7" s="584">
        <f>+SUMIF(Manual!$2:$2,N$4,Manual!$8:$8)</f>
        <v>33292459</v>
      </c>
      <c r="O7" s="583">
        <f>+SUMIF(Manual!$2:$2,O$4,Manual!$8:$8)</f>
        <v>32870061</v>
      </c>
      <c r="P7" s="583">
        <f>+SUMIF(Manual!$2:$2,P$4,Manual!$8:$8)</f>
        <v>32404112</v>
      </c>
      <c r="Q7" s="585">
        <f>+SUMIF(Manual!$2:$2,Q$4,Manual!$8:$8)</f>
        <v>31978688</v>
      </c>
      <c r="R7" s="584">
        <f>+SUMIF(Manual!$2:$2,R$4,Manual!$8:$8)</f>
        <v>31680718</v>
      </c>
      <c r="S7" s="583">
        <f>+SUMIF(Manual!$2:$2,S$4,Manual!$8:$8)</f>
        <v>31195872</v>
      </c>
      <c r="T7" s="583"/>
      <c r="U7" s="583"/>
      <c r="V7" s="586"/>
      <c r="W7" s="587"/>
      <c r="X7" s="583">
        <f>+SUMIF($N$4:$U$4,$B$1,$N7:$U7)-SUMIF($N$4:$U$4,$A$1,$N7:$U7)</f>
        <v>-1674189</v>
      </c>
      <c r="Y7" s="902">
        <f>IF(OR(ABS(IF(X7&lt;0,-ABS(X7/SUMIF($N$4:$U$4,$A$1,$N7:$U7)),ABS(X7/SUMIF($N$4:$U$4,$A$1,$N7:$U7))))&lt;minvar,ABS(IF(X7&lt;0,-ABS(X7/SUMIF($N$4:$U$4,$A$1,$N7:$U7)),ABS(X7/SUMIF($N$4:$U$4,$A$1,$N7:$U7))))&gt;maxvar)=TRUE,"nm",IF(X7&lt;0,-ABS(X7/SUMIF($N$4:$U$4,$A$1,$N7:$U7)),ABS(X7/SUMIF($N$4:$U$4,$A$1,$N7:$U7))))</f>
        <v>-5.0933553180810949E-2</v>
      </c>
      <c r="Z7" s="903"/>
      <c r="AA7" s="588"/>
      <c r="AB7" s="583">
        <f>+SUMIF(Manual!$2:$2,A$1,Manual!$9:$9)</f>
        <v>33080093</v>
      </c>
      <c r="AC7" s="583">
        <f>+SUMIF(Manual!$2:$2,B$1,Manual!$9:$9)</f>
        <v>31436955</v>
      </c>
      <c r="AD7" s="589"/>
      <c r="AE7" s="590"/>
      <c r="AF7" s="244">
        <f>+$AC7-$AB7</f>
        <v>-1643138</v>
      </c>
      <c r="AG7" s="902">
        <f>IF(OR(ABS(IF(AF7&lt;0,-ABS(AF7/$AB7),ABS(AF7/$AB7)))&lt;minvar,ABS(IF(AF7&lt;0,-ABS(AF7/$AB7),ABS(AF7/$AB7)))&gt;maxvar)=TRUE,"nm",IF(AF7&lt;0,-ABS(AF7/$AB7),ABS(AF7/$AB7)))</f>
        <v>-4.9671504853387199E-2</v>
      </c>
      <c r="AH7" s="591"/>
    </row>
    <row r="8" spans="1:39" ht="14.4">
      <c r="G8" s="963"/>
      <c r="H8" s="981"/>
      <c r="I8" s="964"/>
      <c r="J8" s="964"/>
      <c r="K8" s="964"/>
      <c r="N8" s="303"/>
      <c r="O8" s="175"/>
      <c r="P8" s="175"/>
      <c r="Q8" s="266"/>
      <c r="R8" s="303"/>
      <c r="S8" s="175"/>
      <c r="T8" s="624"/>
      <c r="U8" s="624"/>
      <c r="V8" s="261"/>
      <c r="W8" s="257"/>
      <c r="X8" s="175"/>
      <c r="Y8" s="902"/>
      <c r="Z8" s="903"/>
      <c r="AA8" s="147"/>
      <c r="AB8" s="570"/>
      <c r="AC8" s="153"/>
      <c r="AD8" s="345"/>
      <c r="AE8" s="159"/>
      <c r="AF8" s="153"/>
      <c r="AG8" s="902"/>
      <c r="AH8"/>
      <c r="AJ8" s="592"/>
      <c r="AK8" s="592"/>
      <c r="AL8" s="592"/>
      <c r="AM8" s="592"/>
    </row>
    <row r="9" spans="1:39" s="610" customFormat="1" ht="15" customHeight="1">
      <c r="A9" s="145"/>
      <c r="B9" s="600"/>
      <c r="C9" s="600"/>
      <c r="D9" s="600"/>
      <c r="E9" s="600"/>
      <c r="F9" s="600"/>
      <c r="G9" s="963"/>
      <c r="H9" s="1133" t="s">
        <v>900</v>
      </c>
      <c r="I9" s="1133"/>
      <c r="J9" s="1133"/>
      <c r="K9" s="1133"/>
      <c r="L9" s="1133"/>
      <c r="M9" s="1133"/>
      <c r="N9" s="602">
        <f>+IS!N34</f>
        <v>169050.9504055336</v>
      </c>
      <c r="O9" s="601">
        <f>+IS!O34</f>
        <v>178343.55839110183</v>
      </c>
      <c r="P9" s="601">
        <f>+IS!P34</f>
        <v>206792.74137916317</v>
      </c>
      <c r="Q9" s="603">
        <f>+IS!Q34</f>
        <v>197046.61982498443</v>
      </c>
      <c r="R9" s="602">
        <f>+IS!R34</f>
        <v>190096.02017298818</v>
      </c>
      <c r="S9" s="601">
        <f>+IS!S34</f>
        <v>202278.2967566647</v>
      </c>
      <c r="T9" s="601"/>
      <c r="U9" s="601"/>
      <c r="V9" s="604"/>
      <c r="W9" s="605"/>
      <c r="X9" s="601">
        <f>+SUMIF($N$4:$U$4,$B$1,$N9:$U9)-SUMIF($N$4:$U$4,$A$1,$N9:$U9)</f>
        <v>23934.738365562866</v>
      </c>
      <c r="Y9" s="902">
        <f>IF(OR(ABS(IF(X9&lt;0,-ABS(X9/SUMIF($N$4:$U$4,$A$1,$N9:$U9)),ABS(X9/SUMIF($N$4:$U$4,$A$1,$N9:$U9))))&lt;minvar,ABS(IF(X9&lt;0,-ABS(X9/SUMIF($N$4:$U$4,$A$1,$N9:$U9)),ABS(X9/SUMIF($N$4:$U$4,$A$1,$N9:$U9))))&gt;maxvar)=TRUE,"nm",IF(X9&lt;0,-ABS(X9/SUMIF($N$4:$U$4,$A$1,$N9:$U9)),ABS(X9/SUMIF($N$4:$U$4,$A$1,$N9:$U9))))</f>
        <v>0.13420579123511001</v>
      </c>
      <c r="Z9" s="903"/>
      <c r="AA9" s="606"/>
      <c r="AB9" s="570">
        <f>+SUMIF($N$72:$Q$72,"Yes",$N9:$Q9)</f>
        <v>347394.50879663543</v>
      </c>
      <c r="AC9" s="570">
        <f>+SUMIF($R$72:$U$72,"Yes",$R9:$U9)</f>
        <v>392374.31692965288</v>
      </c>
      <c r="AD9" s="607"/>
      <c r="AE9" s="608"/>
      <c r="AF9" s="570">
        <f t="shared" ref="AF9:AF12" si="0">+$AC9-$AB9</f>
        <v>44979.808133017446</v>
      </c>
      <c r="AG9" s="902">
        <f>IF(OR(ABS(IF(AF9&lt;0,-ABS(AF9/$AB9),ABS(AF9/$AB9)))&lt;minvar,ABS(IF(AF9&lt;0,-ABS(AF9/$AB9),ABS(AF9/$AB9)))&gt;maxvar)=TRUE,"nm",IF(AF9&lt;0,-ABS(AF9/$AB9),ABS(AF9/$AB9)))</f>
        <v>0.12947760253559046</v>
      </c>
      <c r="AH9" s="609"/>
      <c r="AJ9" s="592"/>
      <c r="AK9" s="592"/>
      <c r="AL9" s="592"/>
      <c r="AM9" s="592"/>
    </row>
    <row r="10" spans="1:39" s="636" customFormat="1" ht="15" customHeight="1">
      <c r="A10" s="145"/>
      <c r="B10" s="626"/>
      <c r="C10" s="627" t="s">
        <v>776</v>
      </c>
      <c r="D10" s="626"/>
      <c r="E10" s="627" t="s">
        <v>708</v>
      </c>
      <c r="F10" s="626"/>
      <c r="G10" s="963"/>
      <c r="H10" s="1133" t="s">
        <v>171</v>
      </c>
      <c r="I10" s="1133"/>
      <c r="J10" s="1133"/>
      <c r="K10" s="1133"/>
      <c r="L10" s="1133"/>
      <c r="M10" s="1133"/>
      <c r="N10" s="630">
        <f>+IF(AND(N$4=$B$1,$C$11="YES"),N$9*$E$11,SUMIF(Manual!$2:$2,N$4,Manual!$10:$10))</f>
        <v>-584.52368219101015</v>
      </c>
      <c r="O10" s="629">
        <f>+IF(AND(O$4=$B$1,$C$11="YES"),O$9*$E$11,SUMIF(Manual!$2:$2,O$4,Manual!$10:$10))</f>
        <v>-572.02630095850134</v>
      </c>
      <c r="P10" s="629">
        <f>+IF(AND(P$4=$B$1,$C$11="YES"),P$9*$E$11,SUMIF(Manual!$2:$2,P$4,Manual!$10:$10))</f>
        <v>-678.48147670319395</v>
      </c>
      <c r="Q10" s="631">
        <f>+IF(AND(Q$4=$B$1,$C$11="YES"),Q$9*$E$11,SUMIF(Manual!$2:$2,Q$4,Manual!$10:$10))</f>
        <v>-605.60766427812496</v>
      </c>
      <c r="R10" s="630">
        <f>+IF(AND(R$4=$B$1,$C$11="YES"),R$9*$E$11,SUMIF(Manual!$2:$2,R$4,Manual!$10:$10))</f>
        <v>-625.7591042117474</v>
      </c>
      <c r="S10" s="629">
        <f>+IF(AND(S$4=$B$1,$C$11="YES"),S$9*$E$11,SUMIF(Manual!$2:$2,S$4,Manual!$10:$10))</f>
        <v>-683.93343243795698</v>
      </c>
      <c r="T10" s="632"/>
      <c r="U10" s="632"/>
      <c r="V10" s="633"/>
      <c r="W10" s="634"/>
      <c r="X10" s="629">
        <f>+SUMIF($N$4:$U$4,$B$1,$N10:$U10)-SUMIF($N$4:$U$4,$A$1,$N10:$U10)</f>
        <v>-111.90713147945564</v>
      </c>
      <c r="Y10" s="902">
        <f>IF(OR(ABS(IF(X10&lt;0,-ABS(X10/SUMIF($N$4:$U$4,$A$1,$N10:$U10)),ABS(X10/SUMIF($N$4:$U$4,$A$1,$N10:$U10))))&lt;minvar,ABS(IF(X10&lt;0,-ABS(X10/SUMIF($N$4:$U$4,$A$1,$N10:$U10)),ABS(X10/SUMIF($N$4:$U$4,$A$1,$N10:$U10))))&gt;maxvar)=TRUE,"nm",IF(X10&lt;0,-ABS(X10/SUMIF($N$4:$U$4,$A$1,$N10:$U10)),ABS(X10/SUMIF($N$4:$U$4,$A$1,$N10:$U10))))</f>
        <v>-0.19563284291638566</v>
      </c>
      <c r="Z10" s="903"/>
      <c r="AA10" s="1029"/>
      <c r="AB10" s="629">
        <f>+SUMIF(Manual!$2:$2,A$1,Manual!$11:$11)</f>
        <v>-1157.754675006805</v>
      </c>
      <c r="AC10" s="629">
        <f>+IF($C$11="YES",AC$9*$E$11,SUMIF(Manual!$2:$2,B$1,Manual!$11:$11))</f>
        <v>-1309.1827067116899</v>
      </c>
      <c r="AD10" s="1030"/>
      <c r="AE10" s="1031"/>
      <c r="AF10" s="574">
        <f t="shared" si="0"/>
        <v>-151.42803170488492</v>
      </c>
      <c r="AG10" s="902">
        <f>IF(OR(ABS(IF(AF10&lt;0,-ABS(AF10/$AB10),ABS(AF10/$AB10)))&lt;minvar,ABS(IF(AF10&lt;0,-ABS(AF10/$AB10),ABS(AF10/$AB10)))&gt;maxvar)=TRUE,"nm",IF(AF10&lt;0,-ABS(AF10/$AB10),ABS(AF10/$AB10)))</f>
        <v>-0.13079457589233648</v>
      </c>
      <c r="AH10" s="635"/>
      <c r="AJ10" s="592"/>
      <c r="AK10" s="592"/>
      <c r="AL10" s="592"/>
      <c r="AM10" s="592"/>
    </row>
    <row r="11" spans="1:39" s="610" customFormat="1" ht="15" customHeight="1">
      <c r="A11" s="600"/>
      <c r="B11" s="600"/>
      <c r="C11" s="611" t="s">
        <v>919</v>
      </c>
      <c r="D11" s="600"/>
      <c r="E11" s="665">
        <v>-3.3685479293816822E-3</v>
      </c>
      <c r="F11" s="600"/>
      <c r="G11" s="963"/>
      <c r="H11" s="981"/>
      <c r="I11" s="1133" t="s">
        <v>866</v>
      </c>
      <c r="J11" s="1133"/>
      <c r="K11" s="1133"/>
      <c r="L11" s="1133"/>
      <c r="M11" s="1133"/>
      <c r="N11" s="1032">
        <f t="shared" ref="N11:Q11" si="1">+SUM(N9:N10)</f>
        <v>168466.42672334259</v>
      </c>
      <c r="O11" s="1027">
        <f t="shared" si="1"/>
        <v>177771.53209014333</v>
      </c>
      <c r="P11" s="1027">
        <f t="shared" si="1"/>
        <v>206114.25990245998</v>
      </c>
      <c r="Q11" s="1033">
        <f t="shared" si="1"/>
        <v>196441.0121607063</v>
      </c>
      <c r="R11" s="1032">
        <f t="shared" ref="R11" si="2">+SUM(R9:R10)</f>
        <v>189470.26106877642</v>
      </c>
      <c r="S11" s="1027">
        <f t="shared" ref="S11" si="3">+SUM(S9:S10)</f>
        <v>201594.36332422675</v>
      </c>
      <c r="T11" s="1027"/>
      <c r="U11" s="1027"/>
      <c r="V11" s="604"/>
      <c r="W11" s="605"/>
      <c r="X11" s="1027">
        <f>+SUMIF($N$4:$U$4,$B$1,$N11:$U11)-SUMIF($N$4:$U$4,$A$1,$N11:$U11)</f>
        <v>23822.831234083424</v>
      </c>
      <c r="Y11" s="904">
        <f>IF(OR(ABS(IF(X11&lt;0,-ABS(X11/SUMIF($N$4:$U$4,$A$1,$N11:$U11)),ABS(X11/SUMIF($N$4:$U$4,$A$1,$N11:$U11))))&lt;minvar,ABS(IF(X11&lt;0,-ABS(X11/SUMIF($N$4:$U$4,$A$1,$N11:$U11)),ABS(X11/SUMIF($N$4:$U$4,$A$1,$N11:$U11))))&gt;maxvar)=TRUE,"nm",IF(X11&lt;0,-ABS(X11/SUMIF($N$4:$U$4,$A$1,$N11:$U11)),ABS(X11/SUMIF($N$4:$U$4,$A$1,$N11:$U11))))</f>
        <v>0.13400813366452557</v>
      </c>
      <c r="Z11" s="903"/>
      <c r="AA11" s="606"/>
      <c r="AB11" s="1034">
        <f>+SUM(AB9:AB10)</f>
        <v>346236.75412162865</v>
      </c>
      <c r="AC11" s="1034">
        <f>+SUM(AC9:AC10)</f>
        <v>391065.13422294118</v>
      </c>
      <c r="AD11" s="607"/>
      <c r="AE11" s="608"/>
      <c r="AF11" s="1034">
        <f t="shared" si="0"/>
        <v>44828.380101312534</v>
      </c>
      <c r="AG11" s="904">
        <f>IF(OR(ABS(IF(AF11&lt;0,-ABS(AF11/$AB11),ABS(AF11/$AB11)))&lt;minvar,ABS(IF(AF11&lt;0,-ABS(AF11/$AB11),ABS(AF11/$AB11)))&gt;maxvar)=TRUE,"nm",IF(AF11&lt;0,-ABS(AF11/$AB11),ABS(AF11/$AB11)))</f>
        <v>0.12947319880882688</v>
      </c>
      <c r="AH11" s="609"/>
      <c r="AJ11" s="592"/>
      <c r="AK11" s="592"/>
      <c r="AL11" s="592"/>
      <c r="AM11" s="592"/>
    </row>
    <row r="12" spans="1:39" s="619" customFormat="1" ht="15" customHeight="1" thickBot="1">
      <c r="A12" s="615"/>
      <c r="B12" s="615"/>
      <c r="C12" s="615"/>
      <c r="D12" s="615"/>
      <c r="E12" s="615"/>
      <c r="F12" s="615"/>
      <c r="G12" s="963"/>
      <c r="H12" s="981"/>
      <c r="I12" s="1133" t="s">
        <v>172</v>
      </c>
      <c r="J12" s="1133"/>
      <c r="K12" s="1133"/>
      <c r="L12" s="1133"/>
      <c r="M12" s="1133"/>
      <c r="N12" s="1035">
        <f>+ROUND(N11/N7*1000,2)</f>
        <v>5.0599999999999996</v>
      </c>
      <c r="O12" s="1028">
        <f t="shared" ref="O12:R12" si="4">+ROUND(O11/O7*1000,2)</f>
        <v>5.41</v>
      </c>
      <c r="P12" s="1028">
        <f t="shared" si="4"/>
        <v>6.36</v>
      </c>
      <c r="Q12" s="1036">
        <f t="shared" si="4"/>
        <v>6.14</v>
      </c>
      <c r="R12" s="1035">
        <f t="shared" si="4"/>
        <v>5.98</v>
      </c>
      <c r="S12" s="1028">
        <f t="shared" ref="S12" si="5">+ROUND(S11/S7*1000,2)</f>
        <v>6.46</v>
      </c>
      <c r="T12" s="1028"/>
      <c r="U12" s="1028"/>
      <c r="V12" s="616"/>
      <c r="W12" s="617"/>
      <c r="X12" s="1028">
        <f>+SUMIF($N$4:$U$4,$B$1,$N12:$U12)-SUMIF($N$4:$U$4,$A$1,$N12:$U12)</f>
        <v>1.0499999999999998</v>
      </c>
      <c r="Y12" s="905">
        <f>IF(OR(ABS(IF(X12&lt;0,-ABS(X12/SUMIF($N$4:$U$4,$A$1,$N12:$U12)),ABS(X12/SUMIF($N$4:$U$4,$A$1,$N12:$U12))))&lt;minvar,ABS(IF(X12&lt;0,-ABS(X12/SUMIF($N$4:$U$4,$A$1,$N12:$U12)),ABS(X12/SUMIF($N$4:$U$4,$A$1,$N12:$U12))))&gt;maxvar)=TRUE,"nm",IF(X12&lt;0,-ABS(X12/SUMIF($N$4:$U$4,$A$1,$N12:$U12)),ABS(X12/SUMIF($N$4:$U$4,$A$1,$N12:$U12))))</f>
        <v>0.19408502772643249</v>
      </c>
      <c r="Z12" s="903"/>
      <c r="AA12" s="1037"/>
      <c r="AB12" s="1038">
        <f t="shared" ref="AB12:AC12" si="6">+ROUND(AB11/AB7*1000,2)</f>
        <v>10.47</v>
      </c>
      <c r="AC12" s="1038">
        <f t="shared" si="6"/>
        <v>12.44</v>
      </c>
      <c r="AD12" s="1039"/>
      <c r="AE12" s="1040"/>
      <c r="AF12" s="1038">
        <f t="shared" si="0"/>
        <v>1.9699999999999989</v>
      </c>
      <c r="AG12" s="905">
        <f>IF(OR(ABS(IF(AF12&lt;0,-ABS(AF12/$AB12),ABS(AF12/$AB12)))&lt;minvar,ABS(IF(AF12&lt;0,-ABS(AF12/$AB12),ABS(AF12/$AB12)))&gt;maxvar)=TRUE,"nm",IF(AF12&lt;0,-ABS(AF12/$AB12),ABS(AF12/$AB12)))</f>
        <v>0.18815663801337143</v>
      </c>
      <c r="AH12" s="618"/>
      <c r="AJ12" s="592"/>
      <c r="AK12" s="592"/>
      <c r="AL12" s="592"/>
      <c r="AM12" s="592"/>
    </row>
    <row r="13" spans="1:39" ht="15" thickTop="1">
      <c r="G13" s="963"/>
      <c r="H13" s="981"/>
      <c r="I13" s="964"/>
      <c r="J13" s="964"/>
      <c r="K13" s="964"/>
      <c r="N13" s="303"/>
      <c r="O13" s="175"/>
      <c r="P13" s="175"/>
      <c r="Q13" s="266"/>
      <c r="R13" s="303"/>
      <c r="S13" s="175"/>
      <c r="T13" s="175"/>
      <c r="U13" s="175"/>
      <c r="V13" s="261"/>
      <c r="W13" s="257"/>
      <c r="X13" s="175"/>
      <c r="Y13" s="902"/>
      <c r="Z13" s="903"/>
      <c r="AA13" s="147"/>
      <c r="AB13" s="153"/>
      <c r="AC13" s="153"/>
      <c r="AD13" s="345"/>
      <c r="AE13" s="159"/>
      <c r="AF13" s="153"/>
      <c r="AG13" s="902"/>
      <c r="AH13"/>
      <c r="AJ13" s="592"/>
      <c r="AK13" s="592"/>
      <c r="AL13" s="592"/>
      <c r="AM13" s="592"/>
    </row>
    <row r="14" spans="1:39" s="610" customFormat="1" ht="15" customHeight="1">
      <c r="A14" s="600"/>
      <c r="B14" s="600"/>
      <c r="C14" s="600"/>
      <c r="D14" s="600"/>
      <c r="E14" s="600"/>
      <c r="F14" s="600"/>
      <c r="G14" s="963"/>
      <c r="H14" s="1133" t="s">
        <v>165</v>
      </c>
      <c r="I14" s="1133"/>
      <c r="J14" s="1133"/>
      <c r="K14" s="1133"/>
      <c r="L14" s="1133"/>
      <c r="M14" s="1133"/>
      <c r="N14" s="602">
        <f>+Recon!N43</f>
        <v>168067.76421553359</v>
      </c>
      <c r="O14" s="601">
        <f>+Recon!O43</f>
        <v>180384.91707309539</v>
      </c>
      <c r="P14" s="601">
        <f>+Recon!P43</f>
        <v>206052.00172916317</v>
      </c>
      <c r="Q14" s="603">
        <f>+Recon!Q43</f>
        <v>196907.09953565319</v>
      </c>
      <c r="R14" s="602">
        <f>+Recon!R43</f>
        <v>189794.38990298819</v>
      </c>
      <c r="S14" s="601">
        <f>+Recon!S43</f>
        <v>200953.81888281755</v>
      </c>
      <c r="T14" s="601"/>
      <c r="U14" s="601"/>
      <c r="V14" s="604"/>
      <c r="W14" s="605"/>
      <c r="X14" s="601">
        <f>+SUMIF($N$4:$U$4,$B$1,$N14:$U14)-SUMIF($N$4:$U$4,$A$1,$N14:$U14)</f>
        <v>20568.901809722156</v>
      </c>
      <c r="Y14" s="902">
        <f>IF(OR(ABS(IF(X14&lt;0,-ABS(X14/SUMIF($N$4:$U$4,$A$1,$N14:$U14)),ABS(X14/SUMIF($N$4:$U$4,$A$1,$N14:$U14))))&lt;minvar,ABS(IF(X14&lt;0,-ABS(X14/SUMIF($N$4:$U$4,$A$1,$N14:$U14)),ABS(X14/SUMIF($N$4:$U$4,$A$1,$N14:$U14))))&gt;maxvar)=TRUE,"nm",IF(X14&lt;0,-ABS(X14/SUMIF($N$4:$U$4,$A$1,$N14:$U14)),ABS(X14/SUMIF($N$4:$U$4,$A$1,$N14:$U14))))</f>
        <v>0.11402783638161525</v>
      </c>
      <c r="Z14" s="903"/>
      <c r="AA14" s="606"/>
      <c r="AB14" s="570">
        <f>+SUMIF($N$72:$Q$72,"Yes",$N14:$Q14)</f>
        <v>348452.68128862896</v>
      </c>
      <c r="AC14" s="570">
        <f>+SUMIF($R$72:$U$72,"Yes",$R14:$U14)</f>
        <v>390748.20878580573</v>
      </c>
      <c r="AD14" s="607"/>
      <c r="AE14" s="608"/>
      <c r="AF14" s="570">
        <f t="shared" ref="AF14:AF17" si="7">+$AC14-$AB14</f>
        <v>42295.527497176779</v>
      </c>
      <c r="AG14" s="902">
        <f>IF(OR(ABS(IF(AF14&lt;0,-ABS(AF14/$AB14),ABS(AF14/$AB14)))&lt;minvar,ABS(IF(AF14&lt;0,-ABS(AF14/$AB14),ABS(AF14/$AB14)))&gt;maxvar)=TRUE,"nm",IF(AF14&lt;0,-ABS(AF14/$AB14),ABS(AF14/$AB14)))</f>
        <v>0.12138097873364537</v>
      </c>
      <c r="AH14" s="609"/>
      <c r="AJ14" s="592"/>
      <c r="AK14" s="592"/>
      <c r="AL14" s="592"/>
      <c r="AM14" s="592"/>
    </row>
    <row r="15" spans="1:39" s="636" customFormat="1" ht="15" customHeight="1">
      <c r="A15" s="626"/>
      <c r="B15" s="626"/>
      <c r="C15" s="626"/>
      <c r="D15" s="626"/>
      <c r="E15" s="626"/>
      <c r="F15" s="626"/>
      <c r="G15" s="963"/>
      <c r="H15" s="1133" t="s">
        <v>173</v>
      </c>
      <c r="I15" s="1133"/>
      <c r="J15" s="1133"/>
      <c r="K15" s="1133"/>
      <c r="L15" s="1133"/>
      <c r="M15" s="1133"/>
      <c r="N15" s="630">
        <f>+IF(AND(N$4=$B$1,$C$11="YES"),N$14*$E$11,SUMIF(Manual!$2:$2,N$4,Manual!$14:$14))</f>
        <v>-581.1241413385053</v>
      </c>
      <c r="O15" s="629">
        <f>+IF(AND(O$4=$B$1,$C$11="YES"),O$14*$E$11,SUMIF(Manual!$2:$2,O$4,Manual!$14:$14))</f>
        <v>-578.57383688480286</v>
      </c>
      <c r="P15" s="629">
        <f>+IF(AND(P$4=$B$1,$C$11="YES"),P$14*$E$11,SUMIF(Manual!$2:$2,P$4,Manual!$14:$14))</f>
        <v>-676.05112964056195</v>
      </c>
      <c r="Q15" s="631">
        <f>+IF(AND(Q$4=$B$1,$C$11="YES"),Q$14*$E$11,SUMIF(Manual!$2:$2,Q$4,Manual!$14:$14))</f>
        <v>-605.17885937593098</v>
      </c>
      <c r="R15" s="630">
        <f>+IF(AND(R$4=$B$1,$C$11="YES"),R$14*$E$11,SUMIF(Manual!$2:$2,R$4,Manual!$14:$14))</f>
        <v>-624.76619606255747</v>
      </c>
      <c r="S15" s="629">
        <f>+IF(AND(S$4=$B$1,$C$11="YES"),S$14*$E$11,SUMIF(Manual!$2:$2,S$4,Manual!$14:$14))</f>
        <v>-679.455172965869</v>
      </c>
      <c r="T15" s="632"/>
      <c r="U15" s="632"/>
      <c r="V15" s="633"/>
      <c r="W15" s="634"/>
      <c r="X15" s="629">
        <f>+SUMIF($N$4:$U$4,$B$1,$N15:$U15)-SUMIF($N$4:$U$4,$A$1,$N15:$U15)</f>
        <v>-100.88133608106614</v>
      </c>
      <c r="Y15" s="902">
        <f>IF(OR(ABS(IF(X15&lt;0,-ABS(X15/SUMIF($N$4:$U$4,$A$1,$N15:$U15)),ABS(X15/SUMIF($N$4:$U$4,$A$1,$N15:$U15))))&lt;minvar,ABS(IF(X15&lt;0,-ABS(X15/SUMIF($N$4:$U$4,$A$1,$N15:$U15)),ABS(X15/SUMIF($N$4:$U$4,$A$1,$N15:$U15))))&gt;maxvar)=TRUE,"nm",IF(X15&lt;0,-ABS(X15/SUMIF($N$4:$U$4,$A$1,$N15:$U15)),ABS(X15/SUMIF($N$4:$U$4,$A$1,$N15:$U15))))</f>
        <v>-0.17436207731797618</v>
      </c>
      <c r="Z15" s="903"/>
      <c r="AA15" s="1029"/>
      <c r="AB15" s="629">
        <f>+SUMIF(Manual!$2:$2,A$1,Manual!$15:$15)</f>
        <v>-1161.2812251351079</v>
      </c>
      <c r="AC15" s="629">
        <f>+IF($C$11="YES",AC$14*$E$11,SUMIF(Manual!$2:$2,B$1,Manual!$15:$15))</f>
        <v>-1303.7570899745201</v>
      </c>
      <c r="AD15" s="1030"/>
      <c r="AE15" s="1031"/>
      <c r="AF15" s="574">
        <f t="shared" si="7"/>
        <v>-142.47586483941222</v>
      </c>
      <c r="AG15" s="902">
        <f>IF(OR(ABS(IF(AF15&lt;0,-ABS(AF15/$AB15),ABS(AF15/$AB15)))&lt;minvar,ABS(IF(AF15&lt;0,-ABS(AF15/$AB15),ABS(AF15/$AB15)))&gt;maxvar)=TRUE,"nm",IF(AF15&lt;0,-ABS(AF15/$AB15),ABS(AF15/$AB15)))</f>
        <v>-0.12268851140931521</v>
      </c>
      <c r="AH15" s="635"/>
      <c r="AJ15" s="592"/>
      <c r="AK15" s="592"/>
      <c r="AL15" s="592"/>
      <c r="AM15" s="592"/>
    </row>
    <row r="16" spans="1:39" s="610" customFormat="1" ht="15" customHeight="1">
      <c r="A16" s="600"/>
      <c r="B16" s="600"/>
      <c r="C16" s="600"/>
      <c r="D16" s="600"/>
      <c r="E16" s="600"/>
      <c r="F16" s="600"/>
      <c r="G16" s="963"/>
      <c r="H16" s="981"/>
      <c r="I16" s="1133" t="s">
        <v>174</v>
      </c>
      <c r="J16" s="1133"/>
      <c r="K16" s="1133"/>
      <c r="L16" s="1133"/>
      <c r="M16" s="1133"/>
      <c r="N16" s="1032">
        <f t="shared" ref="N16:Q16" si="8">+SUM(N14:N15)</f>
        <v>167486.64007419508</v>
      </c>
      <c r="O16" s="1027">
        <f t="shared" si="8"/>
        <v>179806.34323621058</v>
      </c>
      <c r="P16" s="1027">
        <f t="shared" si="8"/>
        <v>205375.95059952259</v>
      </c>
      <c r="Q16" s="1033">
        <f t="shared" si="8"/>
        <v>196301.92067627725</v>
      </c>
      <c r="R16" s="1032">
        <f t="shared" ref="R16" si="9">+SUM(R14:R15)</f>
        <v>189169.62370692563</v>
      </c>
      <c r="S16" s="1027">
        <f t="shared" ref="S16" si="10">+SUM(S14:S15)</f>
        <v>200274.36370985169</v>
      </c>
      <c r="T16" s="1027"/>
      <c r="U16" s="1027"/>
      <c r="V16" s="604"/>
      <c r="W16" s="605"/>
      <c r="X16" s="1027">
        <f>+SUMIF($N$4:$U$4,$B$1,$N16:$U16)-SUMIF($N$4:$U$4,$A$1,$N16:$U16)</f>
        <v>20468.020473641111</v>
      </c>
      <c r="Y16" s="904">
        <f>IF(OR(ABS(IF(X16&lt;0,-ABS(X16/SUMIF($N$4:$U$4,$A$1,$N16:$U16)),ABS(X16/SUMIF($N$4:$U$4,$A$1,$N16:$U16))))&lt;minvar,ABS(IF(X16&lt;0,-ABS(X16/SUMIF($N$4:$U$4,$A$1,$N16:$U16)),ABS(X16/SUMIF($N$4:$U$4,$A$1,$N16:$U16))))&gt;maxvar)=TRUE,"nm",IF(X16&lt;0,-ABS(X16/SUMIF($N$4:$U$4,$A$1,$N16:$U16)),ABS(X16/SUMIF($N$4:$U$4,$A$1,$N16:$U16))))</f>
        <v>0.11383369521481446</v>
      </c>
      <c r="Z16" s="903"/>
      <c r="AA16" s="606"/>
      <c r="AB16" s="1034">
        <f t="shared" ref="AB16:AC16" si="11">+SUM(AB14:AB15)</f>
        <v>347291.40006349387</v>
      </c>
      <c r="AC16" s="1034">
        <f t="shared" si="11"/>
        <v>389444.4516958312</v>
      </c>
      <c r="AD16" s="607"/>
      <c r="AE16" s="608"/>
      <c r="AF16" s="1034">
        <f t="shared" si="7"/>
        <v>42153.05163233733</v>
      </c>
      <c r="AG16" s="904">
        <f>IF(OR(ABS(IF(AF16&lt;0,-ABS(AF16/$AB16),ABS(AF16/$AB16)))&lt;minvar,ABS(IF(AF16&lt;0,-ABS(AF16/$AB16),ABS(AF16/$AB16)))&gt;maxvar)=TRUE,"nm",IF(AF16&lt;0,-ABS(AF16/$AB16),ABS(AF16/$AB16)))</f>
        <v>0.12137660657485518</v>
      </c>
      <c r="AH16" s="609"/>
      <c r="AJ16" s="592"/>
      <c r="AK16" s="592"/>
      <c r="AL16" s="592"/>
      <c r="AM16" s="592"/>
    </row>
    <row r="17" spans="1:39" s="619" customFormat="1" ht="15" customHeight="1" thickBot="1">
      <c r="A17" s="615"/>
      <c r="B17" s="615"/>
      <c r="C17" s="615"/>
      <c r="D17" s="615"/>
      <c r="E17" s="615"/>
      <c r="F17" s="615"/>
      <c r="G17" s="963"/>
      <c r="H17" s="981"/>
      <c r="I17" s="1133" t="s">
        <v>175</v>
      </c>
      <c r="J17" s="1133"/>
      <c r="K17" s="1133"/>
      <c r="L17" s="1133"/>
      <c r="M17" s="1133"/>
      <c r="N17" s="1035">
        <f>+ROUND(N16/N7*1000,2)</f>
        <v>5.03</v>
      </c>
      <c r="O17" s="1028">
        <f t="shared" ref="O17:R17" si="12">+ROUND(O16/O7*1000,2)</f>
        <v>5.47</v>
      </c>
      <c r="P17" s="1028">
        <f t="shared" si="12"/>
        <v>6.34</v>
      </c>
      <c r="Q17" s="1036">
        <f t="shared" si="12"/>
        <v>6.14</v>
      </c>
      <c r="R17" s="1035">
        <f t="shared" si="12"/>
        <v>5.97</v>
      </c>
      <c r="S17" s="1028">
        <f t="shared" ref="S17" si="13">+ROUND(S16/S7*1000,2)</f>
        <v>6.42</v>
      </c>
      <c r="T17" s="1028"/>
      <c r="U17" s="1028"/>
      <c r="V17" s="616"/>
      <c r="W17" s="617"/>
      <c r="X17" s="1028">
        <f>+SUMIF($N$4:$U$4,$B$1,$N17:$U17)-SUMIF($N$4:$U$4,$A$1,$N17:$U17)</f>
        <v>0.95000000000000018</v>
      </c>
      <c r="Y17" s="905">
        <f>IF(OR(ABS(IF(X17&lt;0,-ABS(X17/SUMIF($N$4:$U$4,$A$1,$N17:$U17)),ABS(X17/SUMIF($N$4:$U$4,$A$1,$N17:$U17))))&lt;minvar,ABS(IF(X17&lt;0,-ABS(X17/SUMIF($N$4:$U$4,$A$1,$N17:$U17)),ABS(X17/SUMIF($N$4:$U$4,$A$1,$N17:$U17))))&gt;maxvar)=TRUE,"nm",IF(X17&lt;0,-ABS(X17/SUMIF($N$4:$U$4,$A$1,$N17:$U17)),ABS(X17/SUMIF($N$4:$U$4,$A$1,$N17:$U17))))</f>
        <v>0.17367458866544794</v>
      </c>
      <c r="Z17" s="903"/>
      <c r="AA17" s="1037"/>
      <c r="AB17" s="1038">
        <f t="shared" ref="AB17:AC17" si="14">+ROUND(AB16/AB7*1000,2)</f>
        <v>10.5</v>
      </c>
      <c r="AC17" s="1038">
        <f t="shared" si="14"/>
        <v>12.39</v>
      </c>
      <c r="AD17" s="1039"/>
      <c r="AE17" s="1040"/>
      <c r="AF17" s="1038">
        <f t="shared" si="7"/>
        <v>1.8900000000000006</v>
      </c>
      <c r="AG17" s="905">
        <f>IF(OR(ABS(IF(AF17&lt;0,-ABS(AF17/$AB17),ABS(AF17/$AB17)))&lt;minvar,ABS(IF(AF17&lt;0,-ABS(AF17/$AB17),ABS(AF17/$AB17)))&gt;maxvar)=TRUE,"nm",IF(AF17&lt;0,-ABS(AF17/$AB17),ABS(AF17/$AB17)))</f>
        <v>0.18000000000000005</v>
      </c>
      <c r="AH17" s="618"/>
      <c r="AJ17" s="592"/>
      <c r="AK17" s="592"/>
      <c r="AL17" s="592"/>
      <c r="AM17" s="592"/>
    </row>
    <row r="18" spans="1:39" ht="15" thickTop="1">
      <c r="G18" s="963"/>
      <c r="H18" s="981"/>
      <c r="I18" s="964"/>
      <c r="J18" s="964"/>
      <c r="K18" s="964"/>
      <c r="N18" s="357"/>
      <c r="O18" s="356"/>
      <c r="P18" s="356"/>
      <c r="Q18" s="358"/>
      <c r="R18" s="357"/>
      <c r="S18" s="356"/>
      <c r="T18" s="356"/>
      <c r="U18" s="356"/>
      <c r="V18" s="261"/>
      <c r="W18" s="257"/>
      <c r="X18" s="356"/>
      <c r="Y18" s="902"/>
      <c r="Z18" s="903"/>
      <c r="AA18" s="147"/>
      <c r="AB18" s="359"/>
      <c r="AC18" s="359"/>
      <c r="AD18" s="345"/>
      <c r="AE18" s="159"/>
      <c r="AF18" s="359"/>
      <c r="AG18" s="902"/>
      <c r="AH18"/>
      <c r="AJ18" s="592"/>
      <c r="AK18" s="592"/>
      <c r="AL18" s="592"/>
      <c r="AM18" s="592"/>
    </row>
    <row r="19" spans="1:39" ht="15" customHeight="1">
      <c r="G19" s="1133" t="s">
        <v>176</v>
      </c>
      <c r="H19" s="1133"/>
      <c r="I19" s="1133"/>
      <c r="J19" s="1133"/>
      <c r="K19" s="1133"/>
      <c r="L19" s="1133"/>
      <c r="M19" s="1133"/>
      <c r="N19" s="303"/>
      <c r="O19" s="175"/>
      <c r="P19" s="175"/>
      <c r="Q19" s="266"/>
      <c r="R19" s="303"/>
      <c r="S19" s="175"/>
      <c r="T19" s="175"/>
      <c r="U19" s="175"/>
      <c r="V19" s="261"/>
      <c r="W19" s="257"/>
      <c r="X19" s="175"/>
      <c r="Y19" s="902"/>
      <c r="Z19" s="903"/>
      <c r="AA19" s="147"/>
      <c r="AB19" s="153"/>
      <c r="AC19" s="153"/>
      <c r="AD19" s="345"/>
      <c r="AE19" s="159"/>
      <c r="AF19" s="153"/>
      <c r="AG19" s="902"/>
      <c r="AH19"/>
      <c r="AJ19" s="592"/>
      <c r="AK19" s="592"/>
      <c r="AL19" s="592"/>
      <c r="AM19" s="592"/>
    </row>
    <row r="20" spans="1:39" s="592" customFormat="1" ht="15" customHeight="1">
      <c r="A20" s="582"/>
      <c r="B20" s="582"/>
      <c r="C20" s="582"/>
      <c r="D20" s="582"/>
      <c r="E20" s="582"/>
      <c r="F20" s="582"/>
      <c r="G20" s="963"/>
      <c r="H20" s="1133" t="str">
        <f>+H7</f>
        <v>Weighted-average common shares and fully vested equity awards</v>
      </c>
      <c r="I20" s="1133"/>
      <c r="J20" s="1133"/>
      <c r="K20" s="1133"/>
      <c r="L20" s="1133"/>
      <c r="M20" s="1133"/>
      <c r="N20" s="584">
        <f t="shared" ref="N20:Q20" si="15">+N7</f>
        <v>33292459</v>
      </c>
      <c r="O20" s="583">
        <f t="shared" si="15"/>
        <v>32870061</v>
      </c>
      <c r="P20" s="583">
        <f t="shared" si="15"/>
        <v>32404112</v>
      </c>
      <c r="Q20" s="585">
        <f t="shared" si="15"/>
        <v>31978688</v>
      </c>
      <c r="R20" s="584">
        <f t="shared" ref="R20" si="16">+R7</f>
        <v>31680718</v>
      </c>
      <c r="S20" s="583">
        <f t="shared" ref="S20" si="17">+S7</f>
        <v>31195872</v>
      </c>
      <c r="T20" s="583"/>
      <c r="U20" s="583"/>
      <c r="V20" s="586"/>
      <c r="W20" s="587"/>
      <c r="X20" s="583">
        <f>+SUMIF($N$4:$U$4,$B$1,$N20:$U20)-SUMIF($N$4:$U$4,$A$1,$N20:$U20)</f>
        <v>-1674189</v>
      </c>
      <c r="Y20" s="902">
        <f>IF(OR(ABS(IF(X20&lt;0,-ABS(X20/SUMIF($N$4:$U$4,$A$1,$N20:$U20)),ABS(X20/SUMIF($N$4:$U$4,$A$1,$N20:$U20))))&lt;minvar,ABS(IF(X20&lt;0,-ABS(X20/SUMIF($N$4:$U$4,$A$1,$N20:$U20)),ABS(X20/SUMIF($N$4:$U$4,$A$1,$N20:$U20))))&gt;maxvar)=TRUE,"nm",IF(X20&lt;0,-ABS(X20/SUMIF($N$4:$U$4,$A$1,$N20:$U20)),ABS(X20/SUMIF($N$4:$U$4,$A$1,$N20:$U20))))</f>
        <v>-5.0933553180810949E-2</v>
      </c>
      <c r="Z20" s="903"/>
      <c r="AA20" s="588"/>
      <c r="AB20" s="244">
        <f>+AB7</f>
        <v>33080093</v>
      </c>
      <c r="AC20" s="244">
        <f>+AC7</f>
        <v>31436955</v>
      </c>
      <c r="AD20" s="589"/>
      <c r="AE20" s="590"/>
      <c r="AF20" s="244">
        <f t="shared" ref="AF20:AF22" si="18">+$AC20-$AB20</f>
        <v>-1643138</v>
      </c>
      <c r="AG20" s="902">
        <f>IF(OR(ABS(IF(AF20&lt;0,-ABS(AF20/$AB20),ABS(AF20/$AB20)))&lt;minvar,ABS(IF(AF20&lt;0,-ABS(AF20/$AB20),ABS(AF20/$AB20)))&gt;maxvar)=TRUE,"nm",IF(AF20&lt;0,-ABS(AF20/$AB20),ABS(AF20/$AB20)))</f>
        <v>-4.9671504853387199E-2</v>
      </c>
      <c r="AH20" s="591"/>
    </row>
    <row r="21" spans="1:39" s="592" customFormat="1" ht="15" customHeight="1">
      <c r="A21" s="582"/>
      <c r="B21" s="582"/>
      <c r="C21" s="582"/>
      <c r="D21" s="582"/>
      <c r="E21" s="582"/>
      <c r="F21" s="582"/>
      <c r="G21" s="963"/>
      <c r="H21" s="1133" t="s">
        <v>177</v>
      </c>
      <c r="I21" s="1133"/>
      <c r="J21" s="1133"/>
      <c r="K21" s="1133"/>
      <c r="L21" s="1133"/>
      <c r="M21" s="1133"/>
      <c r="N21" s="584">
        <f>+SUMIF(Manual!$2:$2,N$4,Manual!$18:$18)</f>
        <v>49670</v>
      </c>
      <c r="O21" s="583">
        <f>+SUMIF(Manual!$2:$2,O$4,Manual!$18:$18)</f>
        <v>41352</v>
      </c>
      <c r="P21" s="583">
        <f>+SUMIF(Manual!$2:$2,P$4,Manual!$18:$18)</f>
        <v>47284.149465276969</v>
      </c>
      <c r="Q21" s="585">
        <f>+SUMIF(Manual!$2:$2,Q$4,Manual!$18:$18)</f>
        <v>53183</v>
      </c>
      <c r="R21" s="584">
        <f>+SUMIF(Manual!$2:$2,R$4,Manual!$18:$18)</f>
        <v>46818.305781588017</v>
      </c>
      <c r="S21" s="583">
        <f>+SUMIF(Manual!$2:$2,S$4,Manual!$18:$18)</f>
        <v>40702</v>
      </c>
      <c r="T21" s="583"/>
      <c r="U21" s="583"/>
      <c r="V21" s="586"/>
      <c r="W21" s="587"/>
      <c r="X21" s="583">
        <f>+SUMIF($N$4:$U$4,$B$1,$N21:$U21)-SUMIF($N$4:$U$4,$A$1,$N21:$U21)</f>
        <v>-650</v>
      </c>
      <c r="Y21" s="902">
        <f>IF(OR(ABS(IF(X21&lt;0,-ABS(X21/SUMIF($N$4:$U$4,$A$1,$N21:$U21)),ABS(X21/SUMIF($N$4:$U$4,$A$1,$N21:$U21))))&lt;minvar,ABS(IF(X21&lt;0,-ABS(X21/SUMIF($N$4:$U$4,$A$1,$N21:$U21)),ABS(X21/SUMIF($N$4:$U$4,$A$1,$N21:$U21))))&gt;maxvar)=TRUE,"nm",IF(X21&lt;0,-ABS(X21/SUMIF($N$4:$U$4,$A$1,$N21:$U21)),ABS(X21/SUMIF($N$4:$U$4,$A$1,$N21:$U21))))</f>
        <v>-1.57187076804024E-2</v>
      </c>
      <c r="Z21" s="903"/>
      <c r="AA21" s="588"/>
      <c r="AB21" s="244">
        <f>+AVERAGEIF($N$72:$Q$72,"Yes",$N21:$Q21)</f>
        <v>45511</v>
      </c>
      <c r="AC21" s="583">
        <f>+AVERAGEIF($R$72:$U$72,"Yes",$R21:$U21)</f>
        <v>43760.152890794008</v>
      </c>
      <c r="AD21" s="589"/>
      <c r="AE21" s="590"/>
      <c r="AF21" s="244">
        <f t="shared" si="18"/>
        <v>-1750.8471092059917</v>
      </c>
      <c r="AG21" s="902">
        <f>IF(OR(ABS(IF(AF21&lt;0,-ABS(AF21/$AB21),ABS(AF21/$AB21)))&lt;minvar,ABS(IF(AF21&lt;0,-ABS(AF21/$AB21),ABS(AF21/$AB21)))&gt;maxvar)=TRUE,"nm",IF(AF21&lt;0,-ABS(AF21/$AB21),ABS(AF21/$AB21)))</f>
        <v>-3.8470855599876772E-2</v>
      </c>
      <c r="AH21" s="591"/>
    </row>
    <row r="22" spans="1:39" s="592" customFormat="1" ht="15" customHeight="1">
      <c r="A22" s="582"/>
      <c r="B22" s="582"/>
      <c r="C22" s="582"/>
      <c r="D22" s="582"/>
      <c r="E22" s="582"/>
      <c r="F22" s="582"/>
      <c r="G22" s="963"/>
      <c r="H22" s="981"/>
      <c r="I22" s="1133" t="s">
        <v>862</v>
      </c>
      <c r="J22" s="1133"/>
      <c r="K22" s="1133"/>
      <c r="L22" s="1133"/>
      <c r="M22" s="1133"/>
      <c r="N22" s="594">
        <f t="shared" ref="N22:Q22" si="19">+SUM(N20:N21)</f>
        <v>33342129</v>
      </c>
      <c r="O22" s="593">
        <f t="shared" si="19"/>
        <v>32911413</v>
      </c>
      <c r="P22" s="593">
        <f t="shared" si="19"/>
        <v>32451396.149465278</v>
      </c>
      <c r="Q22" s="595">
        <f t="shared" si="19"/>
        <v>32031871</v>
      </c>
      <c r="R22" s="594">
        <f t="shared" ref="R22" si="20">+SUM(R20:R21)</f>
        <v>31727536.305781588</v>
      </c>
      <c r="S22" s="593">
        <f t="shared" ref="S22" si="21">+SUM(S20:S21)</f>
        <v>31236574</v>
      </c>
      <c r="T22" s="593"/>
      <c r="U22" s="593"/>
      <c r="V22" s="586"/>
      <c r="W22" s="587"/>
      <c r="X22" s="593">
        <f>+SUMIF($N$4:$U$4,$B$1,$N22:$U22)-SUMIF($N$4:$U$4,$A$1,$N22:$U22)</f>
        <v>-1674839</v>
      </c>
      <c r="Y22" s="904">
        <f>IF(OR(ABS(IF(X22&lt;0,-ABS(X22/SUMIF($N$4:$U$4,$A$1,$N22:$U22)),ABS(X22/SUMIF($N$4:$U$4,$A$1,$N22:$U22))))&lt;minvar,ABS(IF(X22&lt;0,-ABS(X22/SUMIF($N$4:$U$4,$A$1,$N22:$U22)),ABS(X22/SUMIF($N$4:$U$4,$A$1,$N22:$U22))))&gt;maxvar)=TRUE,"nm",IF(X22&lt;0,-ABS(X22/SUMIF($N$4:$U$4,$A$1,$N22:$U22)),ABS(X22/SUMIF($N$4:$U$4,$A$1,$N22:$U22))))</f>
        <v>-5.0889307001191347E-2</v>
      </c>
      <c r="Z22" s="903"/>
      <c r="AA22" s="588"/>
      <c r="AB22" s="596">
        <f t="shared" ref="AB22:AC22" si="22">+SUM(AB20:AB21)</f>
        <v>33125604</v>
      </c>
      <c r="AC22" s="596">
        <f t="shared" si="22"/>
        <v>31480715.152890794</v>
      </c>
      <c r="AD22" s="589"/>
      <c r="AE22" s="590"/>
      <c r="AF22" s="596">
        <f t="shared" si="18"/>
        <v>-1644888.847109206</v>
      </c>
      <c r="AG22" s="904">
        <f>IF(OR(ABS(IF(AF22&lt;0,-ABS(AF22/$AB22),ABS(AF22/$AB22)))&lt;minvar,ABS(IF(AF22&lt;0,-ABS(AF22/$AB22),ABS(AF22/$AB22)))&gt;maxvar)=TRUE,"nm",IF(AF22&lt;0,-ABS(AF22/$AB22),ABS(AF22/$AB22)))</f>
        <v>-4.9656116371771093E-2</v>
      </c>
      <c r="AH22" s="591"/>
    </row>
    <row r="23" spans="1:39" ht="14.4">
      <c r="G23" s="963"/>
      <c r="H23" s="981"/>
      <c r="I23" s="1133"/>
      <c r="J23" s="1133"/>
      <c r="K23" s="1133"/>
      <c r="N23" s="303"/>
      <c r="O23" s="175"/>
      <c r="P23" s="175"/>
      <c r="Q23" s="266"/>
      <c r="R23" s="303"/>
      <c r="S23" s="175"/>
      <c r="T23" s="175"/>
      <c r="U23" s="175"/>
      <c r="V23" s="261"/>
      <c r="W23" s="257"/>
      <c r="X23" s="175"/>
      <c r="Y23" s="902"/>
      <c r="Z23" s="903"/>
      <c r="AA23" s="147"/>
      <c r="AB23" s="153"/>
      <c r="AC23" s="153"/>
      <c r="AD23" s="345"/>
      <c r="AE23" s="159"/>
      <c r="AF23" s="153"/>
      <c r="AG23" s="902"/>
      <c r="AH23"/>
      <c r="AJ23" s="592"/>
      <c r="AK23" s="592"/>
      <c r="AL23" s="592"/>
      <c r="AM23" s="592"/>
    </row>
    <row r="24" spans="1:39" s="610" customFormat="1" ht="15" customHeight="1">
      <c r="A24" s="600"/>
      <c r="B24" s="600"/>
      <c r="C24" s="600"/>
      <c r="D24" s="600"/>
      <c r="E24" s="600"/>
      <c r="F24" s="600"/>
      <c r="G24" s="963"/>
      <c r="H24" s="1133" t="s">
        <v>900</v>
      </c>
      <c r="I24" s="1133"/>
      <c r="J24" s="1133"/>
      <c r="K24" s="1133"/>
      <c r="L24" s="1133"/>
      <c r="M24" s="1133"/>
      <c r="N24" s="602">
        <f t="shared" ref="N24:Q24" si="23">+N9</f>
        <v>169050.9504055336</v>
      </c>
      <c r="O24" s="601">
        <f t="shared" si="23"/>
        <v>178343.55839110183</v>
      </c>
      <c r="P24" s="601">
        <f t="shared" si="23"/>
        <v>206792.74137916317</v>
      </c>
      <c r="Q24" s="603">
        <f t="shared" si="23"/>
        <v>197046.61982498443</v>
      </c>
      <c r="R24" s="602">
        <f t="shared" ref="R24" si="24">+R9</f>
        <v>190096.02017298818</v>
      </c>
      <c r="S24" s="601">
        <f t="shared" ref="S24" si="25">+S9</f>
        <v>202278.2967566647</v>
      </c>
      <c r="T24" s="601"/>
      <c r="U24" s="601"/>
      <c r="V24" s="604"/>
      <c r="W24" s="605"/>
      <c r="X24" s="601">
        <f>+SUMIF($N$4:$U$4,$B$1,$N24:$U24)-SUMIF($N$4:$U$4,$A$1,$N24:$U24)</f>
        <v>23934.738365562866</v>
      </c>
      <c r="Y24" s="902">
        <f>IF(OR(ABS(IF(X24&lt;0,-ABS(X24/SUMIF($N$4:$U$4,$A$1,$N24:$U24)),ABS(X24/SUMIF($N$4:$U$4,$A$1,$N24:$U24))))&lt;minvar,ABS(IF(X24&lt;0,-ABS(X24/SUMIF($N$4:$U$4,$A$1,$N24:$U24)),ABS(X24/SUMIF($N$4:$U$4,$A$1,$N24:$U24))))&gt;maxvar)=TRUE,"nm",IF(X24&lt;0,-ABS(X24/SUMIF($N$4:$U$4,$A$1,$N24:$U24)),ABS(X24/SUMIF($N$4:$U$4,$A$1,$N24:$U24))))</f>
        <v>0.13420579123511001</v>
      </c>
      <c r="Z24" s="903"/>
      <c r="AA24" s="606"/>
      <c r="AB24" s="570">
        <f>+SUMIF($N$72:$Q$72,"Yes",$N24:$Q24)</f>
        <v>347394.50879663543</v>
      </c>
      <c r="AC24" s="570">
        <f>+SUMIF($R$72:$U$72,"Yes",$R24:$U24)</f>
        <v>392374.31692965288</v>
      </c>
      <c r="AD24" s="607"/>
      <c r="AE24" s="608"/>
      <c r="AF24" s="570">
        <f t="shared" ref="AF24:AF27" si="26">+$AC24-$AB24</f>
        <v>44979.808133017446</v>
      </c>
      <c r="AG24" s="902">
        <f>IF(OR(ABS(IF(AF24&lt;0,-ABS(AF24/$AB24),ABS(AF24/$AB24)))&lt;minvar,ABS(IF(AF24&lt;0,-ABS(AF24/$AB24),ABS(AF24/$AB24)))&gt;maxvar)=TRUE,"nm",IF(AF24&lt;0,-ABS(AF24/$AB24),ABS(AF24/$AB24)))</f>
        <v>0.12947760253559046</v>
      </c>
      <c r="AH24" s="609"/>
      <c r="AJ24" s="592"/>
      <c r="AK24" s="592"/>
      <c r="AL24" s="592"/>
      <c r="AM24" s="592"/>
    </row>
    <row r="25" spans="1:39" s="636" customFormat="1" ht="15" customHeight="1">
      <c r="A25" s="626"/>
      <c r="B25" s="626"/>
      <c r="C25" s="626"/>
      <c r="D25" s="626"/>
      <c r="E25" s="626"/>
      <c r="F25" s="626"/>
      <c r="G25" s="963"/>
      <c r="H25" s="1133" t="s">
        <v>171</v>
      </c>
      <c r="I25" s="1133"/>
      <c r="J25" s="1133"/>
      <c r="K25" s="1133"/>
      <c r="L25" s="1133"/>
      <c r="M25" s="1133"/>
      <c r="N25" s="630">
        <f>+IF(AND(N$4=$B$1,$C$11="YES"),N$24*$E$11,SUMIF(Manual!$2:$2,N$4,Manual!$12:$12))</f>
        <v>-583.83426699250936</v>
      </c>
      <c r="O25" s="629">
        <f>+IF(AND(O$4=$B$1,$C$11="YES"),O$24*$E$11,SUMIF(Manual!$2:$2,O$4,Manual!$12:$12))</f>
        <v>-571.44763966912035</v>
      </c>
      <c r="P25" s="629">
        <f>+IF(AND(P$4=$B$1,$C$11="YES"),P$24*$E$11,SUMIF(Manual!$2:$2,P$4,Manual!$12:$12))</f>
        <v>-677.65722574192296</v>
      </c>
      <c r="Q25" s="631">
        <f>+IF(AND(Q$4=$B$1,$C$11="YES"),Q$24*$E$11,SUMIF(Manual!$2:$2,Q$4,Manual!$12:$12))</f>
        <v>-604.77496057476196</v>
      </c>
      <c r="R25" s="630">
        <f>+IF(AND(R$4=$B$1,$C$11="YES"),R$24*$E$11,SUMIF(Manual!$2:$2,R$4,Manual!$12:$12))</f>
        <v>-625.02341458201408</v>
      </c>
      <c r="S25" s="629">
        <f>+IF(AND(S$4=$B$1,$C$11="YES"),S$24*$E$11,SUMIF(Manual!$2:$2,S$4,Manual!$12:$12))</f>
        <v>-683.21018613079195</v>
      </c>
      <c r="T25" s="632"/>
      <c r="U25" s="632"/>
      <c r="V25" s="633"/>
      <c r="W25" s="634"/>
      <c r="X25" s="629">
        <f>+SUMIF($N$4:$U$4,$B$1,$N25:$U25)-SUMIF($N$4:$U$4,$A$1,$N25:$U25)</f>
        <v>-111.7625464616716</v>
      </c>
      <c r="Y25" s="902">
        <f>IF(OR(ABS(IF(X25&lt;0,-ABS(X25/SUMIF($N$4:$U$4,$A$1,$N25:$U25)),ABS(X25/SUMIF($N$4:$U$4,$A$1,$N25:$U25))))&lt;minvar,ABS(IF(X25&lt;0,-ABS(X25/SUMIF($N$4:$U$4,$A$1,$N25:$U25)),ABS(X25/SUMIF($N$4:$U$4,$A$1,$N25:$U25))))&gt;maxvar)=TRUE,"nm",IF(X25&lt;0,-ABS(X25/SUMIF($N$4:$U$4,$A$1,$N25:$U25)),ABS(X25/SUMIF($N$4:$U$4,$A$1,$N25:$U25))))</f>
        <v>-0.19557792998564902</v>
      </c>
      <c r="Z25" s="903"/>
      <c r="AA25" s="1029"/>
      <c r="AB25" s="629">
        <f>+SUMIF(Manual!$2:$2,A$1,Manual!$13:$13)</f>
        <v>-1156.4843880804776</v>
      </c>
      <c r="AC25" s="629">
        <f>+IF($C$11="YES",AC$24*$E$11,SUMIF(Manual!$2:$2,B$1,Manual!$13:$13))</f>
        <v>-1307.7188623337699</v>
      </c>
      <c r="AD25" s="1030"/>
      <c r="AE25" s="1031"/>
      <c r="AF25" s="574">
        <f t="shared" si="26"/>
        <v>-151.23447425329232</v>
      </c>
      <c r="AG25" s="902">
        <f>IF(OR(ABS(IF(AF25&lt;0,-ABS(AF25/$AB25),ABS(AF25/$AB25)))&lt;minvar,ABS(IF(AF25&lt;0,-ABS(AF25/$AB25),ABS(AF25/$AB25)))&gt;maxvar)=TRUE,"nm",IF(AF25&lt;0,-ABS(AF25/$AB25),ABS(AF25/$AB25)))</f>
        <v>-0.13077087404898732</v>
      </c>
      <c r="AH25" s="635"/>
      <c r="AJ25" s="592"/>
      <c r="AK25" s="592"/>
      <c r="AL25" s="592"/>
      <c r="AM25" s="592"/>
    </row>
    <row r="26" spans="1:39" s="610" customFormat="1" ht="15" customHeight="1">
      <c r="A26" s="600"/>
      <c r="B26" s="600"/>
      <c r="C26" s="600"/>
      <c r="D26" s="600"/>
      <c r="E26" s="600"/>
      <c r="F26" s="600"/>
      <c r="G26" s="963"/>
      <c r="H26" s="981"/>
      <c r="I26" s="1133" t="s">
        <v>867</v>
      </c>
      <c r="J26" s="1133"/>
      <c r="K26" s="1133"/>
      <c r="L26" s="1133"/>
      <c r="M26" s="1133"/>
      <c r="N26" s="1032">
        <f t="shared" ref="N26:Q26" si="27">+SUM(N24:N25)</f>
        <v>168467.11613854108</v>
      </c>
      <c r="O26" s="1027">
        <f t="shared" si="27"/>
        <v>177772.11075143272</v>
      </c>
      <c r="P26" s="1027">
        <f t="shared" si="27"/>
        <v>206115.08415342125</v>
      </c>
      <c r="Q26" s="1033">
        <f t="shared" si="27"/>
        <v>196441.84486440968</v>
      </c>
      <c r="R26" s="1032">
        <f t="shared" ref="R26" si="28">+SUM(R24:R25)</f>
        <v>189470.99675840617</v>
      </c>
      <c r="S26" s="1027">
        <f t="shared" ref="S26" si="29">+SUM(S24:S25)</f>
        <v>201595.08657053389</v>
      </c>
      <c r="T26" s="1027"/>
      <c r="U26" s="1027"/>
      <c r="V26" s="604"/>
      <c r="W26" s="605"/>
      <c r="X26" s="1027">
        <f>+SUMIF($N$4:$U$4,$B$1,$N26:$U26)-SUMIF($N$4:$U$4,$A$1,$N26:$U26)</f>
        <v>23822.975819101179</v>
      </c>
      <c r="Y26" s="904">
        <f>IF(OR(ABS(IF(X26&lt;0,-ABS(X26/SUMIF($N$4:$U$4,$A$1,$N26:$U26)),ABS(X26/SUMIF($N$4:$U$4,$A$1,$N26:$U26))))&lt;minvar,ABS(IF(X26&lt;0,-ABS(X26/SUMIF($N$4:$U$4,$A$1,$N26:$U26)),ABS(X26/SUMIF($N$4:$U$4,$A$1,$N26:$U26))))&gt;maxvar)=TRUE,"nm",IF(X26&lt;0,-ABS(X26/SUMIF($N$4:$U$4,$A$1,$N26:$U26)),ABS(X26/SUMIF($N$4:$U$4,$A$1,$N26:$U26))))</f>
        <v>0.13400851077484988</v>
      </c>
      <c r="Z26" s="903"/>
      <c r="AA26" s="606"/>
      <c r="AB26" s="1034">
        <f t="shared" ref="AB26:AC26" si="30">+SUM(AB24:AB25)</f>
        <v>346238.02440855495</v>
      </c>
      <c r="AC26" s="1034">
        <f t="shared" si="30"/>
        <v>391066.59806731914</v>
      </c>
      <c r="AD26" s="607"/>
      <c r="AE26" s="608"/>
      <c r="AF26" s="1034">
        <f t="shared" si="26"/>
        <v>44828.573658764188</v>
      </c>
      <c r="AG26" s="904">
        <f>IF(OR(ABS(IF(AF26&lt;0,-ABS(AF26/$AB26),ABS(AF26/$AB26)))&lt;minvar,ABS(IF(AF26&lt;0,-ABS(AF26/$AB26),ABS(AF26/$AB26)))&gt;maxvar)=TRUE,"nm",IF(AF26&lt;0,-ABS(AF26/$AB26),ABS(AF26/$AB26)))</f>
        <v>0.12947328282426668</v>
      </c>
      <c r="AH26" s="609"/>
      <c r="AJ26" s="592"/>
      <c r="AK26" s="592"/>
      <c r="AL26" s="592"/>
      <c r="AM26" s="592"/>
    </row>
    <row r="27" spans="1:39" s="619" customFormat="1" ht="15" customHeight="1" thickBot="1">
      <c r="A27" s="615"/>
      <c r="B27" s="615"/>
      <c r="C27" s="615"/>
      <c r="D27" s="615"/>
      <c r="E27" s="615"/>
      <c r="F27" s="615"/>
      <c r="G27" s="963"/>
      <c r="H27" s="981"/>
      <c r="I27" s="1133" t="s">
        <v>178</v>
      </c>
      <c r="J27" s="1133"/>
      <c r="K27" s="1133"/>
      <c r="L27" s="1133"/>
      <c r="M27" s="1133"/>
      <c r="N27" s="1035">
        <f>+ROUND(N26/IF(N24&gt;-BS!O48,N22,N20)*1000,2)</f>
        <v>5.05</v>
      </c>
      <c r="O27" s="1028">
        <f>+ROUND(O26/IF(O24&gt;-BS!P48,O22,O20)*1000,2)</f>
        <v>5.4</v>
      </c>
      <c r="P27" s="1028">
        <f>+ROUND(P26/IF(P24&gt;-BS!Q48,P22,P20)*1000,2)</f>
        <v>6.35</v>
      </c>
      <c r="Q27" s="1036">
        <f>+ROUND(Q26/IF(Q24&gt;-BS!R48,Q22,Q20)*1000,2)</f>
        <v>6.13</v>
      </c>
      <c r="R27" s="1035">
        <f>+ROUND(R26/IF(R24&gt;-BS!S48,R22,R20)*1000,2)</f>
        <v>5.97</v>
      </c>
      <c r="S27" s="1028">
        <f>+ROUND(S26/IF(S24&gt;-BS!T48,S22,S20)*1000,2)</f>
        <v>6.45</v>
      </c>
      <c r="T27" s="1028"/>
      <c r="U27" s="1028"/>
      <c r="V27" s="616"/>
      <c r="W27" s="617"/>
      <c r="X27" s="1028">
        <f>+SUMIF($N$4:$U$4,$B$1,$N27:$U27)-SUMIF($N$4:$U$4,$A$1,$N27:$U27)</f>
        <v>1.0499999999999998</v>
      </c>
      <c r="Y27" s="905">
        <f>IF(OR(ABS(IF(X27&lt;0,-ABS(X27/SUMIF($N$4:$U$4,$A$1,$N27:$U27)),ABS(X27/SUMIF($N$4:$U$4,$A$1,$N27:$U27))))&lt;minvar,ABS(IF(X27&lt;0,-ABS(X27/SUMIF($N$4:$U$4,$A$1,$N27:$U27)),ABS(X27/SUMIF($N$4:$U$4,$A$1,$N27:$U27))))&gt;maxvar)=TRUE,"nm",IF(X27&lt;0,-ABS(X27/SUMIF($N$4:$U$4,$A$1,$N27:$U27)),ABS(X27/SUMIF($N$4:$U$4,$A$1,$N27:$U27))))</f>
        <v>0.19444444444444439</v>
      </c>
      <c r="Z27" s="903"/>
      <c r="AA27" s="1037"/>
      <c r="AB27" s="1038">
        <f>+ROUND(AB26/IF(AB24&gt;-BS!AC48,AB22,AB20)*1000,2)</f>
        <v>10.45</v>
      </c>
      <c r="AC27" s="1038">
        <f>+ROUND(AC26/IF(AC24&gt;-BS!AD48,AC22,AC20)*1000,2)</f>
        <v>12.42</v>
      </c>
      <c r="AD27" s="1039"/>
      <c r="AE27" s="1040"/>
      <c r="AF27" s="1038">
        <f t="shared" si="26"/>
        <v>1.9700000000000006</v>
      </c>
      <c r="AG27" s="905">
        <f>IF(OR(ABS(IF(AF27&lt;0,-ABS(AF27/$AB27),ABS(AF27/$AB27)))&lt;minvar,ABS(IF(AF27&lt;0,-ABS(AF27/$AB27),ABS(AF27/$AB27)))&gt;maxvar)=TRUE,"nm",IF(AF27&lt;0,-ABS(AF27/$AB27),ABS(AF27/$AB27)))</f>
        <v>0.18851674641148333</v>
      </c>
      <c r="AH27" s="618"/>
      <c r="AJ27" s="592"/>
      <c r="AK27" s="592"/>
      <c r="AL27" s="592"/>
      <c r="AM27" s="592"/>
    </row>
    <row r="28" spans="1:39" ht="15" thickTop="1">
      <c r="G28" s="963"/>
      <c r="H28" s="981"/>
      <c r="I28" s="964"/>
      <c r="J28" s="964"/>
      <c r="K28" s="964"/>
      <c r="N28" s="1043"/>
      <c r="O28" s="175"/>
      <c r="P28" s="175"/>
      <c r="Q28" s="266"/>
      <c r="R28" s="303"/>
      <c r="S28" s="175"/>
      <c r="T28" s="175"/>
      <c r="U28" s="175"/>
      <c r="V28" s="261"/>
      <c r="W28" s="257"/>
      <c r="X28" s="175"/>
      <c r="Y28" s="902"/>
      <c r="Z28" s="903"/>
      <c r="AA28" s="147"/>
      <c r="AB28" s="153"/>
      <c r="AC28" s="153"/>
      <c r="AD28" s="345"/>
      <c r="AE28" s="159"/>
      <c r="AF28" s="153"/>
      <c r="AG28" s="902"/>
      <c r="AH28"/>
      <c r="AJ28" s="592"/>
      <c r="AK28" s="592"/>
      <c r="AL28" s="592"/>
      <c r="AM28" s="592"/>
    </row>
    <row r="29" spans="1:39" s="610" customFormat="1" ht="15" customHeight="1">
      <c r="A29" s="600"/>
      <c r="B29" s="600"/>
      <c r="C29" s="600"/>
      <c r="D29" s="600"/>
      <c r="E29" s="600"/>
      <c r="F29" s="600"/>
      <c r="G29" s="963"/>
      <c r="H29" s="1133" t="s">
        <v>165</v>
      </c>
      <c r="I29" s="1133"/>
      <c r="J29" s="1133"/>
      <c r="K29" s="1133"/>
      <c r="L29" s="1133"/>
      <c r="M29" s="1133"/>
      <c r="N29" s="602">
        <f t="shared" ref="N29:Q29" si="31">+N14</f>
        <v>168067.76421553359</v>
      </c>
      <c r="O29" s="601">
        <f t="shared" si="31"/>
        <v>180384.91707309539</v>
      </c>
      <c r="P29" s="601">
        <f t="shared" si="31"/>
        <v>206052.00172916317</v>
      </c>
      <c r="Q29" s="603">
        <f t="shared" si="31"/>
        <v>196907.09953565319</v>
      </c>
      <c r="R29" s="602">
        <f t="shared" ref="R29" si="32">+R14</f>
        <v>189794.38990298819</v>
      </c>
      <c r="S29" s="601">
        <f t="shared" ref="S29" si="33">+S14</f>
        <v>200953.81888281755</v>
      </c>
      <c r="T29" s="601"/>
      <c r="U29" s="601"/>
      <c r="V29" s="604"/>
      <c r="W29" s="605"/>
      <c r="X29" s="601">
        <f>+SUMIF($N$4:$U$4,$B$1,$N29:$U29)-SUMIF($N$4:$U$4,$A$1,$N29:$U29)</f>
        <v>20568.901809722156</v>
      </c>
      <c r="Y29" s="902">
        <f>IF(OR(ABS(IF(X29&lt;0,-ABS(X29/SUMIF($N$4:$U$4,$A$1,$N29:$U29)),ABS(X29/SUMIF($N$4:$U$4,$A$1,$N29:$U29))))&lt;minvar,ABS(IF(X29&lt;0,-ABS(X29/SUMIF($N$4:$U$4,$A$1,$N29:$U29)),ABS(X29/SUMIF($N$4:$U$4,$A$1,$N29:$U29))))&gt;maxvar)=TRUE,"nm",IF(X29&lt;0,-ABS(X29/SUMIF($N$4:$U$4,$A$1,$N29:$U29)),ABS(X29/SUMIF($N$4:$U$4,$A$1,$N29:$U29))))</f>
        <v>0.11402783638161525</v>
      </c>
      <c r="Z29" s="903"/>
      <c r="AA29" s="606"/>
      <c r="AB29" s="570">
        <f>+SUMIF($N$72:$Q$72,"Yes",$N29:$Q29)</f>
        <v>348452.68128862896</v>
      </c>
      <c r="AC29" s="570">
        <f>+SUMIF($R$72:$U$72,"Yes",$R29:$U29)</f>
        <v>390748.20878580573</v>
      </c>
      <c r="AD29" s="607"/>
      <c r="AE29" s="608"/>
      <c r="AF29" s="570">
        <f t="shared" ref="AF29:AF32" si="34">+$AC29-$AB29</f>
        <v>42295.527497176779</v>
      </c>
      <c r="AG29" s="902">
        <f>IF(OR(ABS(IF(AF29&lt;0,-ABS(AF29/$AB29),ABS(AF29/$AB29)))&lt;minvar,ABS(IF(AF29&lt;0,-ABS(AF29/$AB29),ABS(AF29/$AB29)))&gt;maxvar)=TRUE,"nm",IF(AF29&lt;0,-ABS(AF29/$AB29),ABS(AF29/$AB29)))</f>
        <v>0.12138097873364537</v>
      </c>
      <c r="AH29" s="609"/>
      <c r="AJ29" s="592"/>
      <c r="AK29" s="592"/>
      <c r="AL29" s="592"/>
      <c r="AM29" s="592"/>
    </row>
    <row r="30" spans="1:39" s="636" customFormat="1" ht="15" customHeight="1">
      <c r="A30" s="626"/>
      <c r="B30" s="626"/>
      <c r="C30" s="626"/>
      <c r="D30" s="626"/>
      <c r="E30" s="626"/>
      <c r="F30" s="626"/>
      <c r="G30" s="963"/>
      <c r="H30" s="1133" t="s">
        <v>173</v>
      </c>
      <c r="I30" s="1133"/>
      <c r="J30" s="1133"/>
      <c r="K30" s="1133"/>
      <c r="L30" s="1133"/>
      <c r="M30" s="1133"/>
      <c r="N30" s="630">
        <f>+IF(AND(N$4=$B$1,$C$11="YES"),N$29*$E$11,SUMIF(Manual!$2:$2,N$4,Manual!$16:$16))</f>
        <v>-580.43977297469974</v>
      </c>
      <c r="O30" s="629">
        <f>+IF(AND(O$4=$B$1,$C$11="YES"),O$29*$E$11,SUMIF(Manual!$2:$2,O$4,Manual!$16:$16))</f>
        <v>-577.98697520714995</v>
      </c>
      <c r="P30" s="629">
        <f>+IF(AND(P$4=$B$1,$C$11="YES"),P$29*$E$11,SUMIF(Manual!$2:$2,P$4,Manual!$16:$16))</f>
        <v>-675.23040827789896</v>
      </c>
      <c r="Q30" s="631">
        <f>+IF(AND(Q$4=$B$1,$C$11="YES"),Q$29*$E$11,SUMIF(Manual!$2:$2,Q$4,Manual!$16:$16))</f>
        <v>-604.34686543932605</v>
      </c>
      <c r="R30" s="630">
        <f>+IF(AND(R$4=$B$1,$C$11="YES"),R$29*$E$11,SUMIF(Manual!$2:$2,R$4,Manual!$16:$16))</f>
        <v>-624.03196678820257</v>
      </c>
      <c r="S30" s="629">
        <f>+IF(AND(S$4=$B$1,$C$11="YES"),S$29*$E$11,SUMIF(Manual!$2:$2,S$4,Manual!$16:$16))</f>
        <v>-678.73774225825105</v>
      </c>
      <c r="T30" s="632"/>
      <c r="U30" s="632"/>
      <c r="V30" s="633"/>
      <c r="W30" s="634"/>
      <c r="X30" s="629">
        <f>+SUMIF($N$4:$U$4,$B$1,$N30:$U30)-SUMIF($N$4:$U$4,$A$1,$N30:$U30)</f>
        <v>-100.75076705110109</v>
      </c>
      <c r="Y30" s="902">
        <f>IF(OR(ABS(IF(X30&lt;0,-ABS(X30/SUMIF($N$4:$U$4,$A$1,$N30:$U30)),ABS(X30/SUMIF($N$4:$U$4,$A$1,$N30:$U30))))&lt;minvar,ABS(IF(X30&lt;0,-ABS(X30/SUMIF($N$4:$U$4,$A$1,$N30:$U30)),ABS(X30/SUMIF($N$4:$U$4,$A$1,$N30:$U30))))&gt;maxvar)=TRUE,"nm",IF(X30&lt;0,-ABS(X30/SUMIF($N$4:$U$4,$A$1,$N30:$U30)),ABS(X30/SUMIF($N$4:$U$4,$A$1,$N30:$U30))))</f>
        <v>-0.17431321357197041</v>
      </c>
      <c r="Z30" s="903"/>
      <c r="AA30" s="1029"/>
      <c r="AB30" s="629">
        <f>+SUMIF(Manual!$2:$2,A$1,Manual!$17:$17)</f>
        <v>-1160.0061092351079</v>
      </c>
      <c r="AC30" s="629">
        <f>+IF($C$11="YES",AC$29*$E$11,SUMIF(Manual!$2:$2,B$1,Manual!$17:$17))</f>
        <v>-1302.3007624008101</v>
      </c>
      <c r="AD30" s="1030"/>
      <c r="AE30" s="1031"/>
      <c r="AF30" s="574">
        <f t="shared" si="34"/>
        <v>-142.29465316570213</v>
      </c>
      <c r="AG30" s="902">
        <f>IF(OR(ABS(IF(AF30&lt;0,-ABS(AF30/$AB30),ABS(AF30/$AB30)))&lt;minvar,ABS(IF(AF30&lt;0,-ABS(AF30/$AB30),ABS(AF30/$AB30)))&gt;maxvar)=TRUE,"nm",IF(AF30&lt;0,-ABS(AF30/$AB30),ABS(AF30/$AB30)))</f>
        <v>-0.12266715841654426</v>
      </c>
      <c r="AH30" s="635"/>
      <c r="AJ30" s="592"/>
      <c r="AK30" s="592"/>
      <c r="AL30" s="592"/>
      <c r="AM30" s="592"/>
    </row>
    <row r="31" spans="1:39" s="610" customFormat="1" ht="15" customHeight="1">
      <c r="A31" s="600"/>
      <c r="B31" s="600"/>
      <c r="C31" s="600"/>
      <c r="D31" s="600"/>
      <c r="E31" s="600"/>
      <c r="F31" s="600"/>
      <c r="G31" s="963"/>
      <c r="H31" s="981"/>
      <c r="I31" s="1133" t="s">
        <v>179</v>
      </c>
      <c r="J31" s="1133"/>
      <c r="K31" s="1133"/>
      <c r="L31" s="1133"/>
      <c r="M31" s="1133"/>
      <c r="N31" s="1032">
        <f t="shared" ref="N31:Q31" si="35">+SUM(N29:N30)</f>
        <v>167487.32444255889</v>
      </c>
      <c r="O31" s="1027">
        <f t="shared" si="35"/>
        <v>179806.93009788825</v>
      </c>
      <c r="P31" s="1027">
        <f t="shared" si="35"/>
        <v>205376.77132088528</v>
      </c>
      <c r="Q31" s="1033">
        <f t="shared" si="35"/>
        <v>196302.75267021387</v>
      </c>
      <c r="R31" s="1032">
        <f t="shared" ref="R31" si="36">+SUM(R29:R30)</f>
        <v>189170.35793619999</v>
      </c>
      <c r="S31" s="1027">
        <f t="shared" ref="S31" si="37">+SUM(S29:S30)</f>
        <v>200275.08114055928</v>
      </c>
      <c r="T31" s="1027"/>
      <c r="U31" s="1027"/>
      <c r="V31" s="604"/>
      <c r="W31" s="605"/>
      <c r="X31" s="1027">
        <f>+SUMIF($N$4:$U$4,$B$1,$N31:$U31)-SUMIF($N$4:$U$4,$A$1,$N31:$U31)</f>
        <v>20468.15104267103</v>
      </c>
      <c r="Y31" s="904">
        <f>IF(OR(ABS(IF(X31&lt;0,-ABS(X31/SUMIF($N$4:$U$4,$A$1,$N31:$U31)),ABS(X31/SUMIF($N$4:$U$4,$A$1,$N31:$U31))))&lt;minvar,ABS(IF(X31&lt;0,-ABS(X31/SUMIF($N$4:$U$4,$A$1,$N31:$U31)),ABS(X31/SUMIF($N$4:$U$4,$A$1,$N31:$U31))))&gt;maxvar)=TRUE,"nm",IF(X31&lt;0,-ABS(X31/SUMIF($N$4:$U$4,$A$1,$N31:$U31)),ABS(X31/SUMIF($N$4:$U$4,$A$1,$N31:$U31))))</f>
        <v>0.11383404984183876</v>
      </c>
      <c r="Z31" s="903"/>
      <c r="AA31" s="606"/>
      <c r="AB31" s="1034">
        <f t="shared" ref="AB31:AC31" si="38">+SUM(AB29:AB30)</f>
        <v>347292.67517939385</v>
      </c>
      <c r="AC31" s="1034">
        <f t="shared" si="38"/>
        <v>389445.90802340495</v>
      </c>
      <c r="AD31" s="607"/>
      <c r="AE31" s="608"/>
      <c r="AF31" s="1034">
        <f t="shared" si="34"/>
        <v>42153.232844011101</v>
      </c>
      <c r="AG31" s="904">
        <f>IF(OR(ABS(IF(AF31&lt;0,-ABS(AF31/$AB31),ABS(AF31/$AB31)))&lt;minvar,ABS(IF(AF31&lt;0,-ABS(AF31/$AB31),ABS(AF31/$AB31)))&gt;maxvar)=TRUE,"nm",IF(AF31&lt;0,-ABS(AF31/$AB31),ABS(AF31/$AB31)))</f>
        <v>0.12137668271361286</v>
      </c>
      <c r="AH31" s="609"/>
      <c r="AJ31" s="592"/>
      <c r="AK31" s="592"/>
      <c r="AL31" s="592"/>
      <c r="AM31" s="592"/>
    </row>
    <row r="32" spans="1:39" s="619" customFormat="1" ht="15" customHeight="1" thickBot="1">
      <c r="A32" s="615"/>
      <c r="B32" s="615"/>
      <c r="C32" s="615"/>
      <c r="D32" s="615"/>
      <c r="E32" s="615"/>
      <c r="F32" s="615"/>
      <c r="G32" s="963"/>
      <c r="H32" s="981"/>
      <c r="I32" s="1133" t="s">
        <v>180</v>
      </c>
      <c r="J32" s="1133"/>
      <c r="K32" s="1133"/>
      <c r="L32" s="1133"/>
      <c r="M32" s="1133"/>
      <c r="N32" s="1035">
        <f>+ROUND(N31/IF(N29&gt;-BS!O48,N22,N20)*1000,2)</f>
        <v>5.0199999999999996</v>
      </c>
      <c r="O32" s="1028">
        <f>+ROUND(O31/IF(O29&gt;-BS!P48,O22,O20)*1000,2)</f>
        <v>5.46</v>
      </c>
      <c r="P32" s="1028">
        <f>+ROUND(P31/IF(P29&gt;-BS!Q48,P22,P20)*1000,2)</f>
        <v>6.33</v>
      </c>
      <c r="Q32" s="1036">
        <f>+ROUND(Q31/IF(Q29&gt;-BS!R48,Q22,Q20)*1000,2)</f>
        <v>6.13</v>
      </c>
      <c r="R32" s="1035">
        <f>+ROUND(R31/IF(R29&gt;-BS!S48,R22,R20)*1000,2)</f>
        <v>5.96</v>
      </c>
      <c r="S32" s="1028">
        <f>+ROUND(S31/IF(S29&gt;-BS!T48,S22,S20)*1000,2)</f>
        <v>6.41</v>
      </c>
      <c r="T32" s="1028"/>
      <c r="U32" s="1028"/>
      <c r="V32" s="616"/>
      <c r="W32" s="617"/>
      <c r="X32" s="1028">
        <f>+SUMIF($N$4:$U$4,$B$1,$N32:$U32)-SUMIF($N$4:$U$4,$A$1,$N32:$U32)</f>
        <v>0.95000000000000018</v>
      </c>
      <c r="Y32" s="905">
        <f>IF(OR(ABS(IF(X32&lt;0,-ABS(X32/SUMIF($N$4:$U$4,$A$1,$N32:$U32)),ABS(X32/SUMIF($N$4:$U$4,$A$1,$N32:$U32))))&lt;minvar,ABS(IF(X32&lt;0,-ABS(X32/SUMIF($N$4:$U$4,$A$1,$N32:$U32)),ABS(X32/SUMIF($N$4:$U$4,$A$1,$N32:$U32))))&gt;maxvar)=TRUE,"nm",IF(X32&lt;0,-ABS(X32/SUMIF($N$4:$U$4,$A$1,$N32:$U32)),ABS(X32/SUMIF($N$4:$U$4,$A$1,$N32:$U32))))</f>
        <v>0.17399267399267401</v>
      </c>
      <c r="Z32" s="903"/>
      <c r="AA32" s="1037"/>
      <c r="AB32" s="1038">
        <f>+ROUND(AB31/IF(AB29&gt;-BS!AC48,AB22,AB20)*1000,2)</f>
        <v>10.48</v>
      </c>
      <c r="AC32" s="1038">
        <f>+ROUND(AC31/IF(AC29&gt;-BS!AD48,AC22,AC20)*1000,2)</f>
        <v>12.37</v>
      </c>
      <c r="AD32" s="1039"/>
      <c r="AE32" s="1040"/>
      <c r="AF32" s="1038">
        <f t="shared" si="34"/>
        <v>1.8899999999999988</v>
      </c>
      <c r="AG32" s="905">
        <f>IF(OR(ABS(IF(AF32&lt;0,-ABS(AF32/$AB32),ABS(AF32/$AB32)))&lt;minvar,ABS(IF(AF32&lt;0,-ABS(AF32/$AB32),ABS(AF32/$AB32)))&gt;maxvar)=TRUE,"nm",IF(AF32&lt;0,-ABS(AF32/$AB32),ABS(AF32/$AB32)))</f>
        <v>0.18034351145038155</v>
      </c>
      <c r="AH32" s="618"/>
      <c r="AJ32" s="592"/>
      <c r="AK32" s="592"/>
      <c r="AL32" s="592"/>
      <c r="AM32" s="592"/>
    </row>
    <row r="33" spans="1:39" ht="15" thickTop="1">
      <c r="G33" s="963"/>
      <c r="H33" s="964"/>
      <c r="I33" s="967"/>
      <c r="J33" s="964"/>
      <c r="K33" s="964"/>
      <c r="N33" s="149"/>
      <c r="O33" s="150"/>
      <c r="P33" s="150"/>
      <c r="Q33" s="150"/>
      <c r="R33" s="149"/>
      <c r="S33" s="150"/>
      <c r="T33" s="150"/>
      <c r="U33" s="150"/>
      <c r="V33" s="360"/>
      <c r="W33" s="890"/>
      <c r="X33" s="360"/>
      <c r="Y33" s="902"/>
      <c r="Z33" s="906"/>
      <c r="AA33" s="891"/>
      <c r="AB33" s="360"/>
      <c r="AC33" s="360"/>
      <c r="AD33" s="360"/>
      <c r="AE33" s="890"/>
      <c r="AF33" s="153"/>
      <c r="AG33" s="909"/>
      <c r="AH33"/>
      <c r="AJ33" s="592"/>
      <c r="AK33" s="592"/>
      <c r="AL33" s="592"/>
      <c r="AM33" s="592"/>
    </row>
    <row r="34" spans="1:39" ht="15" customHeight="1">
      <c r="G34" s="1136" t="s">
        <v>181</v>
      </c>
      <c r="H34" s="1136"/>
      <c r="I34" s="1136"/>
      <c r="J34" s="1136"/>
      <c r="K34" s="1136"/>
      <c r="L34" s="1136"/>
      <c r="M34" s="1136"/>
      <c r="N34" s="354"/>
      <c r="O34" s="346"/>
      <c r="P34" s="346"/>
      <c r="Q34" s="355"/>
      <c r="R34" s="354"/>
      <c r="S34" s="346"/>
      <c r="T34" s="346"/>
      <c r="U34" s="346"/>
      <c r="V34" s="360"/>
      <c r="W34" s="159"/>
      <c r="X34" s="150"/>
      <c r="Y34" s="907"/>
      <c r="Z34" s="903"/>
      <c r="AA34" s="147"/>
      <c r="AB34" s="147"/>
      <c r="AC34" s="147"/>
      <c r="AD34" s="345"/>
      <c r="AE34" s="159"/>
      <c r="AF34" s="150"/>
      <c r="AG34" s="909"/>
      <c r="AH34"/>
      <c r="AJ34" s="592"/>
      <c r="AK34" s="592"/>
      <c r="AL34" s="592"/>
      <c r="AM34" s="592"/>
    </row>
    <row r="35" spans="1:39" s="610" customFormat="1" ht="15" customHeight="1">
      <c r="A35" s="600"/>
      <c r="B35" s="600"/>
      <c r="C35" s="600"/>
      <c r="D35" s="600"/>
      <c r="E35" s="600"/>
      <c r="F35" s="600"/>
      <c r="G35" s="963"/>
      <c r="H35" s="1133" t="s">
        <v>823</v>
      </c>
      <c r="I35" s="1133"/>
      <c r="J35" s="1133"/>
      <c r="K35" s="1133"/>
      <c r="L35" s="1133"/>
      <c r="M35" s="1133"/>
      <c r="N35" s="602">
        <f>+AVERAGE(BS!N40:O40)</f>
        <v>2257725.180744404</v>
      </c>
      <c r="O35" s="601">
        <f>+AVERAGE(BS!O40:P40)</f>
        <v>2281962.6927772593</v>
      </c>
      <c r="P35" s="601">
        <f>+AVERAGE(BS!P40:Q40)</f>
        <v>2301704.0033820234</v>
      </c>
      <c r="Q35" s="603">
        <f>+AVERAGE(BS!Q40:R40)</f>
        <v>2370896.3817629777</v>
      </c>
      <c r="R35" s="602">
        <f>+AVERAGE(BS!R40:S40)</f>
        <v>2482887.6711231321</v>
      </c>
      <c r="S35" s="601">
        <f>+AVERAGE(BS!S40:T40)</f>
        <v>2521413.7914441517</v>
      </c>
      <c r="T35" s="601"/>
      <c r="U35" s="601"/>
      <c r="V35" s="601"/>
      <c r="W35" s="613"/>
      <c r="X35" s="601">
        <f>+SUMIF($N$4:$U$4,$B$1,$N35:$U35)-SUMIF($N$4:$U$4,$A$1,$N35:$U35)</f>
        <v>239451.09866689239</v>
      </c>
      <c r="Y35" s="902">
        <f>IF(OR(ABS(IF(X35&lt;0,-ABS(X35/SUMIF($N$4:$U$4,$A$1,$N35:$U35)),ABS(X35/SUMIF($N$4:$U$4,$A$1,$N35:$U35))))&lt;minvar,ABS(IF(X35&lt;0,-ABS(X35/SUMIF($N$4:$U$4,$A$1,$N35:$U35)),ABS(X35/SUMIF($N$4:$U$4,$A$1,$N35:$U35))))&gt;maxvar)=TRUE,"nm",IF(X35&lt;0,-ABS(X35/SUMIF($N$4:$U$4,$A$1,$N35:$U35)),ABS(X35/SUMIF($N$4:$U$4,$A$1,$N35:$U35))))</f>
        <v>0.10493208299363947</v>
      </c>
      <c r="Z35" s="908"/>
      <c r="AA35" s="605"/>
      <c r="AB35" s="601">
        <f>+AVERAGEIF($N$72:$Q$72,"Yes",$N35:$Q35)</f>
        <v>2269843.9367608316</v>
      </c>
      <c r="AC35" s="601">
        <f>+AVERAGEIF($R$72:$U$72,"Yes",$R35:$U35)</f>
        <v>2502150.7312836419</v>
      </c>
      <c r="AD35" s="604"/>
      <c r="AE35" s="613"/>
      <c r="AF35" s="601">
        <f t="shared" ref="AF35:AF36" si="39">+$AC35-$AB35</f>
        <v>232306.79452281026</v>
      </c>
      <c r="AG35" s="902">
        <f>IF(OR(ABS(IF(AF35&lt;0,-ABS(AF35/$AB35),ABS(AF35/$AB35)))&lt;minvar,ABS(IF(AF35&lt;0,-ABS(AF35/$AB35),ABS(AF35/$AB35)))&gt;maxvar)=TRUE,"nm",IF(AF35&lt;0,-ABS(AF35/$AB35),ABS(AF35/$AB35)))</f>
        <v>0.10234483118443923</v>
      </c>
      <c r="AH35" s="609"/>
      <c r="AJ35" s="592"/>
      <c r="AK35" s="592"/>
      <c r="AL35" s="592"/>
      <c r="AM35" s="592"/>
    </row>
    <row r="36" spans="1:39" s="610" customFormat="1" ht="15" customHeight="1">
      <c r="A36" s="600"/>
      <c r="B36" s="600"/>
      <c r="C36" s="600"/>
      <c r="D36" s="600"/>
      <c r="E36" s="600"/>
      <c r="F36" s="600"/>
      <c r="G36" s="963"/>
      <c r="H36" s="1133" t="s">
        <v>824</v>
      </c>
      <c r="I36" s="1133"/>
      <c r="J36" s="1133"/>
      <c r="K36" s="1133"/>
      <c r="L36" s="1133"/>
      <c r="M36" s="1133"/>
      <c r="N36" s="602">
        <f>+AVERAGE(BS!N43:O43)</f>
        <v>2207812.090794404</v>
      </c>
      <c r="O36" s="601">
        <f>+AVERAGE(BS!O43:P43)</f>
        <v>2238046.5579022593</v>
      </c>
      <c r="P36" s="601">
        <f>+AVERAGE(BS!P43:Q43)</f>
        <v>2277699.4606270231</v>
      </c>
      <c r="Q36" s="603">
        <f>+AVERAGE(BS!Q43:R43)</f>
        <v>2349255.0538479774</v>
      </c>
      <c r="R36" s="602">
        <f>+AVERAGE(BS!R43:S43)</f>
        <v>2408881.6410281323</v>
      </c>
      <c r="S36" s="601">
        <f>+AVERAGE(BS!S43:T43)</f>
        <v>2429963.0487741516</v>
      </c>
      <c r="T36" s="601"/>
      <c r="U36" s="601"/>
      <c r="V36" s="601"/>
      <c r="W36" s="613"/>
      <c r="X36" s="601">
        <f>+SUMIF($N$4:$U$4,$B$1,$N36:$U36)-SUMIF($N$4:$U$4,$A$1,$N36:$U36)</f>
        <v>191916.49087189231</v>
      </c>
      <c r="Y36" s="902">
        <f>IF(OR(ABS(IF(X36&lt;0,-ABS(X36/SUMIF($N$4:$U$4,$A$1,$N36:$U36)),ABS(X36/SUMIF($N$4:$U$4,$A$1,$N36:$U36))))&lt;minvar,ABS(IF(X36&lt;0,-ABS(X36/SUMIF($N$4:$U$4,$A$1,$N36:$U36)),ABS(X36/SUMIF($N$4:$U$4,$A$1,$N36:$U36))))&gt;maxvar)=TRUE,"nm",IF(X36&lt;0,-ABS(X36/SUMIF($N$4:$U$4,$A$1,$N36:$U36)),ABS(X36/SUMIF($N$4:$U$4,$A$1,$N36:$U36))))</f>
        <v>8.5751786616886705E-2</v>
      </c>
      <c r="Z36" s="908"/>
      <c r="AA36" s="605"/>
      <c r="AB36" s="601">
        <f>+AVERAGEIF($N$72:$Q$72,"Yes",$N36:$Q36)</f>
        <v>2222929.3243483314</v>
      </c>
      <c r="AC36" s="601">
        <f>+AVERAGEIF($R$72:$U$72,"Yes",$R36:$U36)</f>
        <v>2419422.3449011417</v>
      </c>
      <c r="AD36" s="604"/>
      <c r="AE36" s="613"/>
      <c r="AF36" s="601">
        <f t="shared" si="39"/>
        <v>196493.02055281028</v>
      </c>
      <c r="AG36" s="902">
        <f>IF(OR(ABS(IF(AF36&lt;0,-ABS(AF36/$AB36),ABS(AF36/$AB36)))&lt;minvar,ABS(IF(AF36&lt;0,-ABS(AF36/$AB36),ABS(AF36/$AB36)))&gt;maxvar)=TRUE,"nm",IF(AF36&lt;0,-ABS(AF36/$AB36),ABS(AF36/$AB36)))</f>
        <v>8.8393732720411025E-2</v>
      </c>
      <c r="AH36" s="609"/>
      <c r="AJ36" s="592"/>
      <c r="AK36" s="592"/>
      <c r="AL36" s="592"/>
      <c r="AM36" s="592"/>
    </row>
    <row r="37" spans="1:39" ht="14.4">
      <c r="G37" s="963"/>
      <c r="H37" s="967"/>
      <c r="I37" s="967"/>
      <c r="J37" s="964"/>
      <c r="K37" s="964"/>
      <c r="N37" s="362"/>
      <c r="O37" s="361"/>
      <c r="P37" s="361"/>
      <c r="Q37" s="363"/>
      <c r="R37" s="362"/>
      <c r="S37" s="361"/>
      <c r="T37" s="316"/>
      <c r="U37" s="316"/>
      <c r="V37" s="361"/>
      <c r="W37" s="362"/>
      <c r="X37" s="361"/>
      <c r="Y37" s="902"/>
      <c r="Z37" s="908"/>
      <c r="AA37" s="257"/>
      <c r="AB37" s="257"/>
      <c r="AC37" s="257"/>
      <c r="AD37" s="261"/>
      <c r="AE37" s="335"/>
      <c r="AF37" s="364"/>
      <c r="AG37" s="909"/>
      <c r="AH37"/>
      <c r="AJ37" s="592"/>
      <c r="AK37" s="592"/>
      <c r="AL37" s="592"/>
      <c r="AM37" s="592"/>
    </row>
    <row r="38" spans="1:39" s="640" customFormat="1" ht="15" customHeight="1">
      <c r="A38" s="644"/>
      <c r="B38" s="644"/>
      <c r="C38" s="644"/>
      <c r="D38" s="644"/>
      <c r="E38" s="644"/>
      <c r="F38" s="644"/>
      <c r="G38" s="963"/>
      <c r="H38" s="1133" t="s">
        <v>901</v>
      </c>
      <c r="I38" s="1133"/>
      <c r="J38" s="1133"/>
      <c r="K38" s="1133"/>
      <c r="L38" s="1133"/>
      <c r="M38" s="1133"/>
      <c r="N38" s="646">
        <f>+IS!N$34/Corp!N35*4</f>
        <v>0.29950669257237961</v>
      </c>
      <c r="O38" s="645">
        <f>+IS!O$34/Corp!O35*4</f>
        <v>0.31261432793022409</v>
      </c>
      <c r="P38" s="645">
        <f>+IS!P$34/Corp!P35*4</f>
        <v>0.35937330095496367</v>
      </c>
      <c r="Q38" s="647">
        <f>+IS!Q$34/Corp!Q35*4</f>
        <v>0.33244239831090772</v>
      </c>
      <c r="R38" s="646">
        <f>+IS!R$34/Corp!R35*4</f>
        <v>0.3062498918237383</v>
      </c>
      <c r="S38" s="645">
        <f>+IS!S$34/Corp!S35*4</f>
        <v>0.32089662941172198</v>
      </c>
      <c r="T38" s="648"/>
      <c r="U38" s="648"/>
      <c r="V38" s="645"/>
      <c r="W38" s="649"/>
      <c r="X38" s="645">
        <f>+SUMIF($N$4:$U$4,$B$1,$N38:$U38)-SUMIF($N$4:$U$4,$A$1,$N38:$U38)</f>
        <v>8.282301481497889E-3</v>
      </c>
      <c r="Y38" s="902" t="s">
        <v>192</v>
      </c>
      <c r="Z38" s="908"/>
      <c r="AA38" s="639"/>
      <c r="AB38" s="645">
        <f>+IS!AB$34/Corp!AB35*4/COUNTIF($N$72:$Q$72,"Yes")</f>
        <v>0.30609550125493024</v>
      </c>
      <c r="AC38" s="645">
        <f>+IS!AC$34/Corp!AC35*4/COUNTIF($R$72:$U$72,"Yes")</f>
        <v>0.31362964031216362</v>
      </c>
      <c r="AD38" s="650"/>
      <c r="AE38" s="649"/>
      <c r="AF38" s="645">
        <f t="shared" ref="AF38:AF39" si="40">+$AC38-$AB38</f>
        <v>7.53413905723338E-3</v>
      </c>
      <c r="AG38" s="902" t="s">
        <v>192</v>
      </c>
      <c r="AH38" s="651"/>
      <c r="AJ38" s="592"/>
      <c r="AK38" s="592"/>
      <c r="AL38" s="592"/>
      <c r="AM38" s="592"/>
    </row>
    <row r="39" spans="1:39" s="640" customFormat="1" ht="15" customHeight="1">
      <c r="A39" s="644"/>
      <c r="B39" s="644"/>
      <c r="C39" s="644"/>
      <c r="D39" s="644"/>
      <c r="E39" s="644"/>
      <c r="F39" s="644"/>
      <c r="G39" s="963"/>
      <c r="H39" s="1133" t="s">
        <v>902</v>
      </c>
      <c r="I39" s="1133"/>
      <c r="J39" s="1133"/>
      <c r="K39" s="1133"/>
      <c r="L39" s="1133"/>
      <c r="M39" s="1133"/>
      <c r="N39" s="646">
        <f>+IS!N$34/Corp!N36*4</f>
        <v>0.30627778715480541</v>
      </c>
      <c r="O39" s="645">
        <f>+IS!O$34/Corp!O36*4</f>
        <v>0.31874861183989811</v>
      </c>
      <c r="P39" s="645">
        <f>+IS!P$34/Corp!P36*4</f>
        <v>0.36316071536889355</v>
      </c>
      <c r="Q39" s="647">
        <f>+IS!Q$34/Corp!Q36*4</f>
        <v>0.335504856319846</v>
      </c>
      <c r="R39" s="646">
        <f>+IS!R$34/Corp!R36*4</f>
        <v>0.31565854782612479</v>
      </c>
      <c r="S39" s="645">
        <f>+IS!S$34/Corp!S36*4</f>
        <v>0.33297345300572934</v>
      </c>
      <c r="T39" s="648"/>
      <c r="U39" s="648"/>
      <c r="V39" s="645"/>
      <c r="W39" s="649"/>
      <c r="X39" s="645">
        <f>+SUMIF($N$4:$U$4,$B$1,$N39:$U39)-SUMIF($N$4:$U$4,$A$1,$N39:$U39)</f>
        <v>1.4224841165831226E-2</v>
      </c>
      <c r="Y39" s="902" t="s">
        <v>192</v>
      </c>
      <c r="Z39" s="908"/>
      <c r="AA39" s="639"/>
      <c r="AB39" s="645">
        <f>+IS!AB$34/Corp!AB36*4/COUNTIF($N$72:$Q$72,"Yes")</f>
        <v>0.3125556039875238</v>
      </c>
      <c r="AC39" s="645">
        <f>+IS!AC$34/Corp!AC36*4/COUNTIF($R$72:$U$72,"Yes")</f>
        <v>0.32435371836303795</v>
      </c>
      <c r="AD39" s="650"/>
      <c r="AE39" s="649"/>
      <c r="AF39" s="645">
        <f t="shared" si="40"/>
        <v>1.1798114375514146E-2</v>
      </c>
      <c r="AG39" s="902" t="s">
        <v>192</v>
      </c>
      <c r="AH39" s="651"/>
      <c r="AJ39" s="592"/>
      <c r="AK39" s="592"/>
      <c r="AL39" s="592"/>
      <c r="AM39" s="592"/>
    </row>
    <row r="40" spans="1:39" s="640" customFormat="1" ht="14.4">
      <c r="A40" s="644"/>
      <c r="B40" s="644"/>
      <c r="C40" s="644"/>
      <c r="D40" s="644"/>
      <c r="E40" s="644"/>
      <c r="F40" s="644"/>
      <c r="G40" s="963"/>
      <c r="H40" s="967"/>
      <c r="I40" s="967"/>
      <c r="J40" s="964"/>
      <c r="K40" s="964"/>
      <c r="L40" s="146"/>
      <c r="M40" s="146"/>
      <c r="N40" s="646"/>
      <c r="O40" s="645"/>
      <c r="P40" s="645"/>
      <c r="Q40" s="647"/>
      <c r="R40" s="646"/>
      <c r="S40" s="645"/>
      <c r="T40" s="648"/>
      <c r="U40" s="648"/>
      <c r="V40" s="645"/>
      <c r="W40" s="646"/>
      <c r="X40" s="645"/>
      <c r="Y40" s="902"/>
      <c r="Z40" s="908"/>
      <c r="AA40" s="639"/>
      <c r="AB40" s="645"/>
      <c r="AC40" s="645"/>
      <c r="AD40" s="650"/>
      <c r="AE40" s="649"/>
      <c r="AF40" s="645"/>
      <c r="AG40" s="902"/>
      <c r="AH40" s="651"/>
      <c r="AJ40" s="592"/>
      <c r="AK40" s="592"/>
      <c r="AL40" s="592"/>
      <c r="AM40" s="592"/>
    </row>
    <row r="41" spans="1:39" s="640" customFormat="1" ht="15" customHeight="1">
      <c r="A41" s="644"/>
      <c r="B41" s="644"/>
      <c r="C41" s="644"/>
      <c r="D41" s="644"/>
      <c r="E41" s="644"/>
      <c r="F41" s="644"/>
      <c r="G41" s="963"/>
      <c r="H41" s="1133" t="s">
        <v>182</v>
      </c>
      <c r="I41" s="1133"/>
      <c r="J41" s="1133"/>
      <c r="K41" s="1133"/>
      <c r="L41" s="1133"/>
      <c r="M41" s="1133"/>
      <c r="N41" s="646">
        <f>+Recon!N43/Corp!N36*4</f>
        <v>0.30449650115841204</v>
      </c>
      <c r="O41" s="645">
        <f>+Recon!O43/Corp!O36*4</f>
        <v>0.32239707692617753</v>
      </c>
      <c r="P41" s="645">
        <f>+Recon!P43/Corp!P36*4</f>
        <v>0.36185985954870364</v>
      </c>
      <c r="Q41" s="647">
        <f>+Recon!Q43/Corp!Q36*4</f>
        <v>0.33526729967123481</v>
      </c>
      <c r="R41" s="646">
        <f>+Recon!R43/Corp!R36*4</f>
        <v>0.31515768424717161</v>
      </c>
      <c r="S41" s="645">
        <f>+Recon!S43/Corp!S36*4</f>
        <v>0.33079320936043555</v>
      </c>
      <c r="T41" s="648"/>
      <c r="U41" s="648"/>
      <c r="V41" s="645"/>
      <c r="W41" s="646"/>
      <c r="X41" s="645">
        <f>+SUMIF($N$4:$U$4,$B$1,$N41:$U41)-SUMIF($N$4:$U$4,$A$1,$N41:$U41)</f>
        <v>8.396132434258019E-3</v>
      </c>
      <c r="Y41" s="902" t="s">
        <v>192</v>
      </c>
      <c r="Z41" s="908"/>
      <c r="AA41" s="639"/>
      <c r="AB41" s="645">
        <f>+Recon!AB43/Corp!AB36*4/COUNTIF($N$72:$Q$72,"Yes")</f>
        <v>0.31350765629112431</v>
      </c>
      <c r="AC41" s="645">
        <f>+Recon!AC43/Corp!AC36*4/COUNTIF($R$72:$U$72,"Yes")</f>
        <v>0.32300950647107612</v>
      </c>
      <c r="AD41" s="650"/>
      <c r="AE41" s="649"/>
      <c r="AF41" s="645">
        <f>+$AC41-$AB41</f>
        <v>9.5018501799518096E-3</v>
      </c>
      <c r="AG41" s="902" t="s">
        <v>192</v>
      </c>
      <c r="AH41" s="651"/>
      <c r="AJ41" s="592"/>
      <c r="AK41" s="592"/>
      <c r="AL41" s="592"/>
      <c r="AM41" s="592"/>
    </row>
    <row r="42" spans="1:39" s="640" customFormat="1" ht="14.4">
      <c r="A42" s="644"/>
      <c r="B42" s="644"/>
      <c r="C42" s="644"/>
      <c r="D42" s="644"/>
      <c r="E42" s="644"/>
      <c r="F42" s="644"/>
      <c r="G42" s="963"/>
      <c r="H42" s="964"/>
      <c r="I42" s="964"/>
      <c r="J42" s="964"/>
      <c r="K42" s="964"/>
      <c r="L42" s="146"/>
      <c r="M42" s="146"/>
      <c r="N42" s="649"/>
      <c r="O42" s="639"/>
      <c r="P42" s="639"/>
      <c r="Q42" s="650"/>
      <c r="R42" s="649"/>
      <c r="S42" s="639"/>
      <c r="T42" s="652"/>
      <c r="U42" s="652"/>
      <c r="V42" s="639"/>
      <c r="W42" s="646"/>
      <c r="X42" s="639"/>
      <c r="Y42" s="902"/>
      <c r="Z42" s="908"/>
      <c r="AA42" s="639"/>
      <c r="AB42" s="639"/>
      <c r="AC42" s="639"/>
      <c r="AD42" s="650"/>
      <c r="AE42" s="649"/>
      <c r="AF42" s="639"/>
      <c r="AG42" s="902"/>
      <c r="AH42" s="651"/>
      <c r="AJ42" s="592"/>
      <c r="AK42" s="592"/>
      <c r="AL42" s="592"/>
      <c r="AM42" s="592"/>
    </row>
    <row r="43" spans="1:39" s="640" customFormat="1" ht="15" customHeight="1">
      <c r="A43" s="644"/>
      <c r="B43" s="644"/>
      <c r="C43" s="644"/>
      <c r="D43" s="644"/>
      <c r="E43" s="644"/>
      <c r="F43" s="644"/>
      <c r="G43" s="1136" t="s">
        <v>183</v>
      </c>
      <c r="H43" s="1136"/>
      <c r="I43" s="1136"/>
      <c r="J43" s="1136"/>
      <c r="K43" s="1136"/>
      <c r="L43" s="1136"/>
      <c r="M43" s="1136"/>
      <c r="N43" s="649"/>
      <c r="O43" s="639"/>
      <c r="P43" s="639"/>
      <c r="Q43" s="650"/>
      <c r="R43" s="649"/>
      <c r="S43" s="639"/>
      <c r="T43" s="652"/>
      <c r="U43" s="652"/>
      <c r="V43" s="639"/>
      <c r="W43" s="646"/>
      <c r="X43" s="639"/>
      <c r="Y43" s="902"/>
      <c r="Z43" s="908"/>
      <c r="AA43" s="639"/>
      <c r="AB43" s="639"/>
      <c r="AC43" s="639"/>
      <c r="AD43" s="650"/>
      <c r="AE43" s="649"/>
      <c r="AF43" s="639"/>
      <c r="AG43" s="902"/>
      <c r="AH43" s="651"/>
      <c r="AJ43" s="592"/>
      <c r="AK43" s="592"/>
      <c r="AL43" s="592"/>
      <c r="AM43" s="592"/>
    </row>
    <row r="44" spans="1:39" s="640" customFormat="1" ht="15" customHeight="1">
      <c r="A44" s="644"/>
      <c r="B44" s="644"/>
      <c r="C44" s="644"/>
      <c r="D44" s="644"/>
      <c r="E44" s="644"/>
      <c r="F44" s="644"/>
      <c r="G44" s="963"/>
      <c r="H44" s="1133" t="s">
        <v>863</v>
      </c>
      <c r="I44" s="1133"/>
      <c r="J44" s="1133"/>
      <c r="K44" s="1133"/>
      <c r="L44" s="1133"/>
      <c r="M44" s="1133"/>
      <c r="N44" s="646">
        <f>+BS!O20/(BS!O20+BS!O36)</f>
        <v>0.2085889745630651</v>
      </c>
      <c r="O44" s="645">
        <f>+BS!P20/(BS!P20+BS!P36)</f>
        <v>0.20497078258082801</v>
      </c>
      <c r="P44" s="645">
        <f>+BS!Q20/(BS!Q20+BS!Q36)</f>
        <v>0.20585019650629177</v>
      </c>
      <c r="Q44" s="647">
        <f>+BS!R20/(BS!R20+BS!R36)</f>
        <v>0.19574895758974428</v>
      </c>
      <c r="R44" s="646">
        <f>+BS!S20/(BS!S20+BS!S36)</f>
        <v>0.19115285715169841</v>
      </c>
      <c r="S44" s="645">
        <f>+BS!T20/(BS!T20+BS!T36)</f>
        <v>0.1910161954177374</v>
      </c>
      <c r="T44" s="648"/>
      <c r="U44" s="648"/>
      <c r="V44" s="645"/>
      <c r="W44" s="646"/>
      <c r="X44" s="645">
        <f>+SUMIF($N$4:$U$4,$B$1,$N44:$U44)-SUMIF($N$4:$U$4,$A$1,$N44:$U44)</f>
        <v>-1.3954587163090615E-2</v>
      </c>
      <c r="Y44" s="902" t="s">
        <v>192</v>
      </c>
      <c r="Z44" s="908"/>
      <c r="AA44" s="639"/>
      <c r="AB44" s="645">
        <f>+SUMIF($N$4:$Q$4,$A$1,$N44:$Q44)</f>
        <v>0.20497078258082801</v>
      </c>
      <c r="AC44" s="645">
        <f>+SUMIF($R$4:$U$4,$B$1,$R44:$U44)</f>
        <v>0.1910161954177374</v>
      </c>
      <c r="AD44" s="650"/>
      <c r="AE44" s="649"/>
      <c r="AF44" s="645">
        <f t="shared" ref="AF44:AF45" si="41">+$AC44-$AB44</f>
        <v>-1.3954587163090615E-2</v>
      </c>
      <c r="AG44" s="902" t="s">
        <v>192</v>
      </c>
      <c r="AH44" s="651"/>
      <c r="AJ44" s="592"/>
      <c r="AK44" s="592"/>
      <c r="AL44" s="592"/>
      <c r="AM44" s="592"/>
    </row>
    <row r="45" spans="1:39" s="640" customFormat="1" ht="15" customHeight="1">
      <c r="A45" s="644"/>
      <c r="B45" s="644"/>
      <c r="C45" s="644"/>
      <c r="D45" s="644"/>
      <c r="E45" s="644"/>
      <c r="F45" s="644"/>
      <c r="G45" s="963"/>
      <c r="H45" s="1133" t="s">
        <v>864</v>
      </c>
      <c r="I45" s="1133"/>
      <c r="J45" s="1133"/>
      <c r="K45" s="1133"/>
      <c r="L45" s="1133"/>
      <c r="M45" s="1133"/>
      <c r="N45" s="646">
        <f>+BS!O20/(BS!O20+BS!O36-BS!O33-BS!O35-BS!O34)</f>
        <v>0.20878259698492643</v>
      </c>
      <c r="O45" s="645">
        <f>+BS!P20/(BS!P20+BS!P36-BS!P33-BS!P35-BS!P34)</f>
        <v>0.20755912994044809</v>
      </c>
      <c r="P45" s="645">
        <f>+BS!Q20/(BS!Q20+BS!Q36-BS!Q33-BS!Q35-BS!Q34)</f>
        <v>0.20414282272046341</v>
      </c>
      <c r="Q45" s="647">
        <f>+BS!R20/(BS!R20+BS!R36-BS!R33-BS!R35-BS!R34)</f>
        <v>0.19766202793972235</v>
      </c>
      <c r="R45" s="646">
        <f>+BS!S20/(BS!S20+BS!S36-BS!S33-BS!S35-BS!S34)</f>
        <v>0.19614907522242733</v>
      </c>
      <c r="S45" s="645">
        <f>+BS!T20/(BS!T20+BS!T36-BS!T33-BS!T35-BS!T34)</f>
        <v>0.19407846400575912</v>
      </c>
      <c r="T45" s="648"/>
      <c r="U45" s="648"/>
      <c r="V45" s="645"/>
      <c r="W45" s="646"/>
      <c r="X45" s="645">
        <f>+SUMIF($N$4:$U$4,$B$1,$N45:$U45)-SUMIF($N$4:$U$4,$A$1,$N45:$U45)</f>
        <v>-1.3480665934688968E-2</v>
      </c>
      <c r="Y45" s="902" t="s">
        <v>192</v>
      </c>
      <c r="Z45" s="908"/>
      <c r="AA45" s="639"/>
      <c r="AB45" s="645">
        <f>+SUMIF($N$4:$Q$4,$A$1,$N45:$Q45)</f>
        <v>0.20755912994044809</v>
      </c>
      <c r="AC45" s="645">
        <f>+SUMIF($R$4:$U$4,$B$1,$R45:$U45)</f>
        <v>0.19407846400575912</v>
      </c>
      <c r="AD45" s="650"/>
      <c r="AE45" s="649"/>
      <c r="AF45" s="645">
        <f t="shared" si="41"/>
        <v>-1.3480665934688968E-2</v>
      </c>
      <c r="AG45" s="902" t="s">
        <v>192</v>
      </c>
      <c r="AH45" s="651"/>
      <c r="AJ45" s="592"/>
      <c r="AK45" s="592"/>
      <c r="AL45" s="592"/>
      <c r="AM45" s="592"/>
    </row>
    <row r="46" spans="1:39" ht="14.4">
      <c r="G46" s="963"/>
      <c r="H46" s="1133"/>
      <c r="I46" s="1133"/>
      <c r="J46" s="1133"/>
      <c r="K46" s="1133"/>
      <c r="N46" s="362"/>
      <c r="O46" s="361"/>
      <c r="P46" s="361"/>
      <c r="Q46" s="363"/>
      <c r="R46" s="362"/>
      <c r="S46" s="361"/>
      <c r="T46" s="316"/>
      <c r="U46" s="316"/>
      <c r="V46" s="361"/>
      <c r="W46" s="362"/>
      <c r="X46" s="361"/>
      <c r="Y46" s="902"/>
      <c r="Z46" s="908"/>
      <c r="AA46" s="257"/>
      <c r="AB46" s="361"/>
      <c r="AC46" s="361"/>
      <c r="AD46" s="261"/>
      <c r="AE46" s="335"/>
      <c r="AF46" s="361"/>
      <c r="AG46" s="902"/>
      <c r="AH46"/>
      <c r="AJ46" s="592"/>
      <c r="AK46" s="592"/>
      <c r="AL46" s="592"/>
      <c r="AM46" s="592"/>
    </row>
    <row r="47" spans="1:39" ht="15" customHeight="1">
      <c r="G47" s="963"/>
      <c r="H47" s="1133" t="s">
        <v>184</v>
      </c>
      <c r="I47" s="1133"/>
      <c r="J47" s="1133"/>
      <c r="K47" s="1133"/>
      <c r="L47" s="1133"/>
      <c r="M47" s="1133"/>
      <c r="N47" s="366">
        <f>+BS!O9/BS!O36</f>
        <v>2.2468773095625161</v>
      </c>
      <c r="O47" s="365">
        <f>+BS!P9/BS!P36</f>
        <v>2.1917489475910354</v>
      </c>
      <c r="P47" s="365">
        <f>+BS!Q9/BS!Q36</f>
        <v>2.2331755300180074</v>
      </c>
      <c r="Q47" s="367">
        <f>+BS!R9/BS!R36</f>
        <v>2.1637509795252869</v>
      </c>
      <c r="R47" s="366">
        <f>+BS!S9/BS!S36</f>
        <v>2.1179955912524511</v>
      </c>
      <c r="S47" s="365">
        <f>+BS!T9/BS!T36</f>
        <v>2.1136782414243611</v>
      </c>
      <c r="T47" s="563"/>
      <c r="U47" s="563"/>
      <c r="V47" s="365"/>
      <c r="W47" s="368"/>
      <c r="X47" s="365">
        <f>+SUMIF($N$4:$U$4,$B$1,$N47:$U47)-SUMIF($N$4:$U$4,$A$1,$N47:$U47)</f>
        <v>-7.8070706166674331E-2</v>
      </c>
      <c r="Y47" s="902" t="s">
        <v>192</v>
      </c>
      <c r="Z47" s="908"/>
      <c r="AA47" s="257"/>
      <c r="AB47" s="369">
        <f>+SUMIF($N$4:$Q$4,$A$1,$N47:$Q47)</f>
        <v>2.1917489475910354</v>
      </c>
      <c r="AC47" s="369">
        <f>+SUMIF($R$4:$U$4,$B$1,$R47:$U47)</f>
        <v>2.1136782414243611</v>
      </c>
      <c r="AD47" s="261"/>
      <c r="AE47" s="335"/>
      <c r="AF47" s="365">
        <f t="shared" ref="AF47:AF48" si="42">+$AC47-$AB47</f>
        <v>-7.8070706166674331E-2</v>
      </c>
      <c r="AG47" s="902" t="s">
        <v>192</v>
      </c>
      <c r="AH47"/>
      <c r="AJ47" s="592"/>
      <c r="AK47" s="592"/>
      <c r="AL47" s="592"/>
      <c r="AM47" s="592"/>
    </row>
    <row r="48" spans="1:39" ht="15" customHeight="1">
      <c r="G48" s="963"/>
      <c r="H48" s="1133" t="s">
        <v>185</v>
      </c>
      <c r="I48" s="1133"/>
      <c r="J48" s="1133"/>
      <c r="K48" s="1133"/>
      <c r="L48" s="1133"/>
      <c r="M48" s="1133"/>
      <c r="N48" s="366">
        <f>+BS!O9/BS!O43</f>
        <v>2.2851950372693293</v>
      </c>
      <c r="O48" s="365">
        <f>+BS!P9/BS!P43</f>
        <v>2.2402895569946679</v>
      </c>
      <c r="P48" s="365">
        <f>+BS!Q9/BS!Q43</f>
        <v>2.2312433761279027</v>
      </c>
      <c r="Q48" s="367">
        <f>+BS!R9/BS!R43</f>
        <v>2.2045547287688256</v>
      </c>
      <c r="R48" s="366">
        <f>+BS!S9/BS!S43</f>
        <v>2.2080219005864521</v>
      </c>
      <c r="S48" s="365">
        <f>+BS!T9/BS!T43</f>
        <v>2.1830385565693744</v>
      </c>
      <c r="T48" s="563"/>
      <c r="U48" s="563"/>
      <c r="V48" s="365"/>
      <c r="W48" s="368"/>
      <c r="X48" s="365">
        <f>+SUMIF($N$4:$U$4,$B$1,$N48:$U48)-SUMIF($N$4:$U$4,$A$1,$N48:$U48)</f>
        <v>-5.7251000425293519E-2</v>
      </c>
      <c r="Y48" s="902" t="s">
        <v>192</v>
      </c>
      <c r="Z48" s="908"/>
      <c r="AA48" s="257"/>
      <c r="AB48" s="369">
        <f>+SUMIF($N$4:$Q$4,$A$1,$N48:$Q48)</f>
        <v>2.2402895569946679</v>
      </c>
      <c r="AC48" s="369">
        <f>+SUMIF($R$4:$U$4,$B$1,$R48:$U48)</f>
        <v>2.1830385565693744</v>
      </c>
      <c r="AD48" s="261"/>
      <c r="AE48" s="335"/>
      <c r="AF48" s="365">
        <f t="shared" si="42"/>
        <v>-5.7251000425293519E-2</v>
      </c>
      <c r="AG48" s="902" t="s">
        <v>192</v>
      </c>
      <c r="AH48"/>
      <c r="AJ48" s="592"/>
      <c r="AK48" s="592"/>
      <c r="AL48" s="592"/>
      <c r="AM48" s="592"/>
    </row>
    <row r="49" spans="1:39" ht="14.4">
      <c r="G49" s="963"/>
      <c r="H49" s="1133"/>
      <c r="I49" s="1133"/>
      <c r="J49" s="1133"/>
      <c r="K49" s="1133"/>
      <c r="N49" s="362"/>
      <c r="O49" s="361"/>
      <c r="P49" s="361"/>
      <c r="Q49" s="363"/>
      <c r="R49" s="362"/>
      <c r="S49" s="361"/>
      <c r="T49" s="316"/>
      <c r="U49" s="316"/>
      <c r="V49" s="361"/>
      <c r="W49" s="362"/>
      <c r="X49" s="361"/>
      <c r="Y49" s="902"/>
      <c r="Z49" s="908"/>
      <c r="AA49" s="257"/>
      <c r="AB49" s="361"/>
      <c r="AC49" s="361"/>
      <c r="AD49" s="261"/>
      <c r="AE49" s="335"/>
      <c r="AF49" s="361"/>
      <c r="AG49" s="909"/>
      <c r="AH49"/>
      <c r="AJ49" s="592"/>
      <c r="AK49" s="592"/>
      <c r="AL49" s="592"/>
      <c r="AM49" s="592"/>
    </row>
    <row r="50" spans="1:39" s="592" customFormat="1" ht="15" customHeight="1">
      <c r="A50" s="582"/>
      <c r="B50" s="582"/>
      <c r="C50" s="582"/>
      <c r="D50" s="582"/>
      <c r="E50" s="582"/>
      <c r="F50" s="582"/>
      <c r="G50" s="963"/>
      <c r="H50" s="1133" t="s">
        <v>865</v>
      </c>
      <c r="I50" s="1133"/>
      <c r="J50" s="1133"/>
      <c r="K50" s="1133"/>
      <c r="L50" s="1133"/>
      <c r="M50" s="1133"/>
      <c r="N50" s="584">
        <f>+SUMIF(Manual!$2:$2,N$4,Manual!$7:$7)</f>
        <v>33022554</v>
      </c>
      <c r="O50" s="583">
        <f>+SUMIF(Manual!$2:$2,O$4,Manual!$7:$7)</f>
        <v>32545209</v>
      </c>
      <c r="P50" s="583">
        <f>+SUMIF(Manual!$2:$2,P$4,Manual!$7:$7)</f>
        <v>32075564</v>
      </c>
      <c r="Q50" s="585">
        <f>+SUMIF(Manual!$2:$2,Q$4,Manual!$7:$7)</f>
        <v>31809803</v>
      </c>
      <c r="R50" s="584">
        <f>+SUMIF(Manual!$2:$2,R$4,Manual!$7:$7)</f>
        <v>31343338</v>
      </c>
      <c r="S50" s="583">
        <f>+SUMIF(Manual!$2:$2,S$4,Manual!$7:$7)</f>
        <v>30898185</v>
      </c>
      <c r="T50" s="583"/>
      <c r="U50" s="583"/>
      <c r="V50" s="583"/>
      <c r="W50" s="597"/>
      <c r="X50" s="583">
        <f>+SUMIF($N$4:$U$4,$B$1,$N50:$U50)-SUMIF($N$4:$U$4,$A$1,$N50:$U50)</f>
        <v>-1647024</v>
      </c>
      <c r="Y50" s="902">
        <f>IF(OR(ABS(IF(X50&lt;0,-ABS(X50/SUMIF($N$4:$U$4,$A$1,$N50:$U50)),ABS(X50/SUMIF($N$4:$U$4,$A$1,$N50:$U50))))&lt;minvar,ABS(IF(X50&lt;0,-ABS(X50/SUMIF($N$4:$U$4,$A$1,$N50:$U50)),ABS(X50/SUMIF($N$4:$U$4,$A$1,$N50:$U50))))&gt;maxvar)=TRUE,"nm",IF(X50&lt;0,-ABS(X50/SUMIF($N$4:$U$4,$A$1,$N50:$U50)),ABS(X50/SUMIF($N$4:$U$4,$A$1,$N50:$U50))))</f>
        <v>-5.0607264497825162E-2</v>
      </c>
      <c r="Z50" s="908"/>
      <c r="AA50" s="587"/>
      <c r="AB50" s="598">
        <f>+SUMIF($N$4:$Q$4,$A$1,$N50:$Q50)</f>
        <v>32545209</v>
      </c>
      <c r="AC50" s="598">
        <f>+SUMIF($R$4:$U$4,$B$1,$R50:$U50)</f>
        <v>30898185</v>
      </c>
      <c r="AD50" s="586"/>
      <c r="AE50" s="599"/>
      <c r="AF50" s="583">
        <f t="shared" ref="AF50:AF51" si="43">+$AC50-$AB50</f>
        <v>-1647024</v>
      </c>
      <c r="AG50" s="902">
        <f>IF(OR(ABS(IF(AF50&lt;0,-ABS(AF50/$AB50),ABS(AF50/$AB50)))&lt;minvar,ABS(IF(AF50&lt;0,-ABS(AF50/$AB50),ABS(AF50/$AB50)))&gt;maxvar)=TRUE,"nm",IF(AF50&lt;0,-ABS(AF50/$AB50),ABS(AF50/$AB50)))</f>
        <v>-5.0607264497825162E-2</v>
      </c>
      <c r="AH50" s="591"/>
    </row>
    <row r="51" spans="1:39" s="619" customFormat="1" ht="15" customHeight="1">
      <c r="A51" s="615"/>
      <c r="B51" s="615"/>
      <c r="C51" s="615"/>
      <c r="D51" s="615"/>
      <c r="E51" s="615"/>
      <c r="F51" s="615"/>
      <c r="G51" s="963"/>
      <c r="H51" s="1133" t="s">
        <v>186</v>
      </c>
      <c r="I51" s="1133"/>
      <c r="J51" s="1133"/>
      <c r="K51" s="1133"/>
      <c r="L51" s="1133"/>
      <c r="M51" s="1133"/>
      <c r="N51" s="621">
        <f>+BS!O43/Corp!N50*1000</f>
        <v>67.183595375235782</v>
      </c>
      <c r="O51" s="620">
        <f>+BS!P43/Corp!O50*1000</f>
        <v>69.365638721559435</v>
      </c>
      <c r="P51" s="620">
        <f>+BS!Q43/Corp!P50*1000</f>
        <v>71.639573091915153</v>
      </c>
      <c r="Q51" s="622">
        <f>+BS!R43/Corp!Q50*1000</f>
        <v>75.468257255587304</v>
      </c>
      <c r="R51" s="621">
        <f>+BS!S43/Corp!R50*1000</f>
        <v>77.117915328696384</v>
      </c>
      <c r="S51" s="620">
        <f>+BS!T43/Corp!S50*1000</f>
        <v>79.059440272805389</v>
      </c>
      <c r="T51" s="620"/>
      <c r="U51" s="620"/>
      <c r="V51" s="620"/>
      <c r="W51" s="623"/>
      <c r="X51" s="624">
        <f>+SUMIF($N$4:$U$4,$B$1,$N51:$U51)-SUMIF($N$4:$U$4,$A$1,$N51:$U51)</f>
        <v>9.6938015512459543</v>
      </c>
      <c r="Y51" s="902">
        <f>IF(OR(ABS(IF(X51&lt;0,-ABS(X51/SUMIF($N$4:$U$4,$A$1,$N51:$U51)),ABS(X51/SUMIF($N$4:$U$4,$A$1,$N51:$U51))))&lt;minvar,ABS(IF(X51&lt;0,-ABS(X51/SUMIF($N$4:$U$4,$A$1,$N51:$U51)),ABS(X51/SUMIF($N$4:$U$4,$A$1,$N51:$U51))))&gt;maxvar)=TRUE,"nm",IF(X51&lt;0,-ABS(X51/SUMIF($N$4:$U$4,$A$1,$N51:$U51)),ABS(X51/SUMIF($N$4:$U$4,$A$1,$N51:$U51))))</f>
        <v>0.13974933021460145</v>
      </c>
      <c r="Z51" s="908"/>
      <c r="AA51" s="617"/>
      <c r="AB51" s="620">
        <f>+SUMIF($N$4:$Q$4,$A$1,$N51:$Q51)</f>
        <v>69.365638721559435</v>
      </c>
      <c r="AC51" s="1012">
        <f>+SUMIF($R$4:$U$4,$B$1,$R51:$U51)</f>
        <v>79.059440272805389</v>
      </c>
      <c r="AD51" s="616"/>
      <c r="AE51" s="625"/>
      <c r="AF51" s="620">
        <f t="shared" si="43"/>
        <v>9.6938015512459543</v>
      </c>
      <c r="AG51" s="902">
        <f>IF(OR(ABS(IF(AF51&lt;0,-ABS(AF51/$AB51),ABS(AF51/$AB51)))&lt;minvar,ABS(IF(AF51&lt;0,-ABS(AF51/$AB51),ABS(AF51/$AB51)))&gt;maxvar)=TRUE,"nm",IF(AF51&lt;0,-ABS(AF51/$AB51),ABS(AF51/$AB51)))</f>
        <v>0.13974933021460145</v>
      </c>
      <c r="AH51" s="618"/>
      <c r="AJ51" s="592"/>
      <c r="AK51" s="592"/>
      <c r="AL51" s="592"/>
      <c r="AM51" s="592"/>
    </row>
    <row r="52" spans="1:39" ht="14.4">
      <c r="G52" s="963"/>
      <c r="H52" s="964"/>
      <c r="I52" s="964"/>
      <c r="J52" s="964"/>
      <c r="K52" s="964"/>
      <c r="N52" s="335"/>
      <c r="O52" s="257"/>
      <c r="P52" s="257"/>
      <c r="Q52" s="261"/>
      <c r="R52" s="335"/>
      <c r="S52" s="257"/>
      <c r="T52" s="259"/>
      <c r="U52" s="259"/>
      <c r="V52" s="257"/>
      <c r="W52" s="362"/>
      <c r="X52" s="257"/>
      <c r="Y52" s="902"/>
      <c r="Z52" s="908"/>
      <c r="AA52" s="257"/>
      <c r="AB52" s="257"/>
      <c r="AC52" s="257"/>
      <c r="AD52" s="261"/>
      <c r="AE52" s="335"/>
      <c r="AF52" s="257"/>
      <c r="AG52" s="909"/>
      <c r="AH52"/>
    </row>
    <row r="53" spans="1:39" ht="15" customHeight="1">
      <c r="G53" s="1136" t="s">
        <v>187</v>
      </c>
      <c r="H53" s="1136"/>
      <c r="I53" s="1136"/>
      <c r="J53" s="1136"/>
      <c r="K53" s="1136"/>
      <c r="L53" s="1136"/>
      <c r="M53" s="1136"/>
      <c r="N53" s="371"/>
      <c r="O53" s="370"/>
      <c r="P53" s="370"/>
      <c r="Q53" s="372"/>
      <c r="R53" s="371"/>
      <c r="S53" s="370"/>
      <c r="T53" s="346"/>
      <c r="U53" s="346"/>
      <c r="V53" s="257"/>
      <c r="W53" s="362"/>
      <c r="X53" s="257"/>
      <c r="Y53" s="909"/>
      <c r="Z53" s="908"/>
      <c r="AA53" s="257"/>
      <c r="AB53" s="257"/>
      <c r="AC53" s="257"/>
      <c r="AD53" s="261"/>
      <c r="AE53" s="335"/>
      <c r="AF53" s="257"/>
      <c r="AG53" s="909"/>
      <c r="AH53"/>
    </row>
    <row r="54" spans="1:39" ht="15" customHeight="1">
      <c r="G54" s="982"/>
      <c r="H54" s="1133" t="s">
        <v>188</v>
      </c>
      <c r="I54" s="1133"/>
      <c r="J54" s="1133"/>
      <c r="K54" s="1133"/>
      <c r="L54" s="1133"/>
      <c r="M54" s="1133"/>
      <c r="N54" s="373" t="s">
        <v>510</v>
      </c>
      <c r="O54" s="173" t="s">
        <v>510</v>
      </c>
      <c r="P54" s="173" t="s">
        <v>510</v>
      </c>
      <c r="Q54" s="374" t="s">
        <v>510</v>
      </c>
      <c r="R54" s="371" t="s">
        <v>510</v>
      </c>
      <c r="S54" s="173" t="s">
        <v>510</v>
      </c>
      <c r="T54" s="346"/>
      <c r="U54" s="346"/>
      <c r="V54" s="175"/>
      <c r="W54" s="362"/>
      <c r="X54" s="257" t="s">
        <v>868</v>
      </c>
      <c r="Y54" s="909" t="s">
        <v>868</v>
      </c>
      <c r="Z54" s="908"/>
      <c r="AA54" s="257"/>
      <c r="AB54" s="257" t="s">
        <v>868</v>
      </c>
      <c r="AC54" s="257" t="s">
        <v>868</v>
      </c>
      <c r="AD54" s="261"/>
      <c r="AE54" s="335"/>
      <c r="AF54" s="257" t="s">
        <v>868</v>
      </c>
      <c r="AG54" s="909" t="s">
        <v>868</v>
      </c>
      <c r="AH54"/>
    </row>
    <row r="55" spans="1:39" ht="15" customHeight="1">
      <c r="G55" s="982"/>
      <c r="H55" s="1133" t="s">
        <v>189</v>
      </c>
      <c r="I55" s="1133"/>
      <c r="J55" s="1133"/>
      <c r="K55" s="1133"/>
      <c r="L55" s="1133"/>
      <c r="M55" s="1133"/>
      <c r="N55" s="376" t="s">
        <v>353</v>
      </c>
      <c r="O55" s="375" t="s">
        <v>353</v>
      </c>
      <c r="P55" s="375" t="s">
        <v>353</v>
      </c>
      <c r="Q55" s="377" t="s">
        <v>353</v>
      </c>
      <c r="R55" s="373" t="s">
        <v>353</v>
      </c>
      <c r="S55" s="375" t="s">
        <v>353</v>
      </c>
      <c r="T55" s="173"/>
      <c r="U55" s="173"/>
      <c r="V55" s="378"/>
      <c r="W55" s="362"/>
      <c r="X55" s="379" t="s">
        <v>868</v>
      </c>
      <c r="Y55" s="910" t="s">
        <v>868</v>
      </c>
      <c r="Z55" s="908"/>
      <c r="AA55" s="257"/>
      <c r="AB55" s="379" t="s">
        <v>868</v>
      </c>
      <c r="AC55" s="379" t="s">
        <v>868</v>
      </c>
      <c r="AD55" s="261"/>
      <c r="AE55" s="335"/>
      <c r="AF55" s="379" t="s">
        <v>868</v>
      </c>
      <c r="AG55" s="910" t="s">
        <v>868</v>
      </c>
      <c r="AH55"/>
    </row>
    <row r="56" spans="1:39" ht="15" customHeight="1">
      <c r="G56" s="982"/>
      <c r="H56" s="1133" t="s">
        <v>190</v>
      </c>
      <c r="I56" s="1133"/>
      <c r="J56" s="1133"/>
      <c r="K56" s="1133"/>
      <c r="L56" s="1133"/>
      <c r="M56" s="1133"/>
      <c r="N56" s="373" t="s">
        <v>511</v>
      </c>
      <c r="O56" s="173" t="s">
        <v>511</v>
      </c>
      <c r="P56" s="173" t="s">
        <v>511</v>
      </c>
      <c r="Q56" s="374" t="s">
        <v>511</v>
      </c>
      <c r="R56" s="376" t="s">
        <v>511</v>
      </c>
      <c r="S56" s="173" t="s">
        <v>511</v>
      </c>
      <c r="T56" s="375"/>
      <c r="U56" s="375"/>
      <c r="V56" s="175"/>
      <c r="W56" s="362"/>
      <c r="X56" s="379" t="s">
        <v>868</v>
      </c>
      <c r="Y56" s="910" t="s">
        <v>868</v>
      </c>
      <c r="Z56" s="908"/>
      <c r="AA56" s="257"/>
      <c r="AB56" s="379" t="s">
        <v>868</v>
      </c>
      <c r="AC56" s="379" t="s">
        <v>868</v>
      </c>
      <c r="AD56" s="261"/>
      <c r="AE56" s="335"/>
      <c r="AF56" s="379" t="s">
        <v>868</v>
      </c>
      <c r="AG56" s="910" t="s">
        <v>868</v>
      </c>
      <c r="AH56"/>
    </row>
    <row r="57" spans="1:39" ht="14.4">
      <c r="G57" s="963"/>
      <c r="H57" s="964"/>
      <c r="I57" s="964"/>
      <c r="J57" s="964"/>
      <c r="K57" s="964"/>
      <c r="N57" s="373"/>
      <c r="O57" s="173"/>
      <c r="P57" s="173"/>
      <c r="Q57" s="374"/>
      <c r="R57" s="373"/>
      <c r="S57" s="173"/>
      <c r="T57" s="173"/>
      <c r="U57" s="173"/>
      <c r="V57" s="175"/>
      <c r="W57" s="362"/>
      <c r="X57" s="166"/>
      <c r="Y57" s="902"/>
      <c r="Z57" s="908"/>
      <c r="AA57" s="257"/>
      <c r="AB57" s="166"/>
      <c r="AC57" s="166"/>
      <c r="AD57" s="261"/>
      <c r="AE57" s="335"/>
      <c r="AF57" s="166"/>
      <c r="AG57" s="902"/>
      <c r="AH57"/>
    </row>
    <row r="58" spans="1:39" ht="15" customHeight="1">
      <c r="G58" s="1136" t="s">
        <v>191</v>
      </c>
      <c r="H58" s="1136"/>
      <c r="I58" s="1136"/>
      <c r="J58" s="1136"/>
      <c r="K58" s="1136"/>
      <c r="L58" s="1136"/>
      <c r="M58" s="1136"/>
      <c r="N58" s="371"/>
      <c r="O58" s="370"/>
      <c r="P58" s="370"/>
      <c r="Q58" s="372"/>
      <c r="R58" s="373"/>
      <c r="S58" s="370"/>
      <c r="T58" s="173"/>
      <c r="U58" s="173"/>
      <c r="V58" s="257"/>
      <c r="W58" s="362"/>
      <c r="X58" s="257"/>
      <c r="Y58" s="909"/>
      <c r="Z58" s="908"/>
      <c r="AA58" s="257"/>
      <c r="AB58" s="257"/>
      <c r="AC58" s="257"/>
      <c r="AD58" s="261"/>
      <c r="AE58" s="335"/>
      <c r="AF58" s="257"/>
      <c r="AG58" s="909"/>
      <c r="AH58"/>
    </row>
    <row r="59" spans="1:39" ht="15" customHeight="1">
      <c r="G59" s="982"/>
      <c r="H59" s="1133" t="s">
        <v>188</v>
      </c>
      <c r="I59" s="1133"/>
      <c r="J59" s="1133"/>
      <c r="K59" s="1133"/>
      <c r="L59" s="1133"/>
      <c r="M59" s="1133"/>
      <c r="N59" s="373" t="s">
        <v>512</v>
      </c>
      <c r="O59" s="173" t="s">
        <v>512</v>
      </c>
      <c r="P59" s="173" t="s">
        <v>512</v>
      </c>
      <c r="Q59" s="374" t="s">
        <v>512</v>
      </c>
      <c r="R59" s="371" t="s">
        <v>512</v>
      </c>
      <c r="S59" s="173" t="s">
        <v>512</v>
      </c>
      <c r="T59" s="346"/>
      <c r="U59" s="346"/>
      <c r="V59" s="175"/>
      <c r="W59" s="362"/>
      <c r="X59" s="257" t="s">
        <v>868</v>
      </c>
      <c r="Y59" s="909" t="s">
        <v>868</v>
      </c>
      <c r="Z59" s="908"/>
      <c r="AA59" s="257"/>
      <c r="AB59" s="257" t="s">
        <v>868</v>
      </c>
      <c r="AC59" s="257" t="s">
        <v>868</v>
      </c>
      <c r="AD59" s="261"/>
      <c r="AE59" s="335"/>
      <c r="AF59" s="257" t="s">
        <v>868</v>
      </c>
      <c r="AG59" s="909" t="s">
        <v>868</v>
      </c>
      <c r="AH59"/>
    </row>
    <row r="60" spans="1:39" ht="15" customHeight="1">
      <c r="G60" s="982"/>
      <c r="H60" s="1133" t="s">
        <v>189</v>
      </c>
      <c r="I60" s="1133"/>
      <c r="J60" s="1133"/>
      <c r="K60" s="1133"/>
      <c r="L60" s="1133"/>
      <c r="M60" s="1133"/>
      <c r="N60" s="373" t="s">
        <v>435</v>
      </c>
      <c r="O60" s="173" t="s">
        <v>435</v>
      </c>
      <c r="P60" s="173" t="s">
        <v>435</v>
      </c>
      <c r="Q60" s="374" t="s">
        <v>435</v>
      </c>
      <c r="R60" s="373" t="s">
        <v>435</v>
      </c>
      <c r="S60" s="173" t="s">
        <v>435</v>
      </c>
      <c r="T60" s="173"/>
      <c r="U60" s="173"/>
      <c r="V60" s="175"/>
      <c r="W60" s="362"/>
      <c r="X60" s="379" t="s">
        <v>868</v>
      </c>
      <c r="Y60" s="910" t="s">
        <v>868</v>
      </c>
      <c r="Z60" s="908"/>
      <c r="AA60" s="257"/>
      <c r="AB60" s="379" t="s">
        <v>868</v>
      </c>
      <c r="AC60" s="379" t="s">
        <v>868</v>
      </c>
      <c r="AD60" s="261"/>
      <c r="AE60" s="335"/>
      <c r="AF60" s="379" t="s">
        <v>868</v>
      </c>
      <c r="AG60" s="910" t="s">
        <v>868</v>
      </c>
      <c r="AH60"/>
    </row>
    <row r="61" spans="1:39" ht="15" customHeight="1">
      <c r="G61" s="982"/>
      <c r="H61" s="1133" t="s">
        <v>190</v>
      </c>
      <c r="I61" s="1133"/>
      <c r="J61" s="1133"/>
      <c r="K61" s="1133"/>
      <c r="L61" s="1133"/>
      <c r="M61" s="1133"/>
      <c r="N61" s="373" t="s">
        <v>513</v>
      </c>
      <c r="O61" s="173" t="s">
        <v>513</v>
      </c>
      <c r="P61" s="173" t="s">
        <v>513</v>
      </c>
      <c r="Q61" s="374" t="s">
        <v>513</v>
      </c>
      <c r="R61" s="373" t="s">
        <v>513</v>
      </c>
      <c r="S61" s="173" t="s">
        <v>513</v>
      </c>
      <c r="T61" s="173"/>
      <c r="U61" s="173"/>
      <c r="V61" s="175"/>
      <c r="W61" s="362"/>
      <c r="X61" s="379" t="s">
        <v>868</v>
      </c>
      <c r="Y61" s="910" t="s">
        <v>868</v>
      </c>
      <c r="Z61" s="908"/>
      <c r="AA61" s="257"/>
      <c r="AB61" s="379" t="s">
        <v>868</v>
      </c>
      <c r="AC61" s="379" t="s">
        <v>868</v>
      </c>
      <c r="AD61" s="261"/>
      <c r="AE61" s="335"/>
      <c r="AF61" s="379" t="s">
        <v>868</v>
      </c>
      <c r="AG61" s="910" t="s">
        <v>868</v>
      </c>
      <c r="AH61"/>
    </row>
    <row r="62" spans="1:39" ht="14.4">
      <c r="G62" s="972"/>
      <c r="H62" s="147"/>
      <c r="I62" s="147"/>
      <c r="J62" s="147"/>
      <c r="K62" s="147"/>
      <c r="L62" s="147"/>
      <c r="M62" s="147"/>
      <c r="N62" s="147"/>
      <c r="O62" s="147"/>
      <c r="P62" s="175"/>
      <c r="Q62" s="175"/>
      <c r="R62" s="415"/>
      <c r="U62" s="147"/>
      <c r="V62" s="147"/>
      <c r="W62" s="380"/>
      <c r="X62" s="147"/>
      <c r="Y62" s="909"/>
      <c r="Z62" s="911"/>
      <c r="AA62" s="147"/>
      <c r="AB62" s="147"/>
      <c r="AC62" s="147"/>
      <c r="AD62" s="147"/>
      <c r="AE62" s="147"/>
      <c r="AF62" s="147"/>
      <c r="AG62" s="639"/>
      <c r="AH62"/>
    </row>
    <row r="63" spans="1:39" ht="14.4">
      <c r="G63" s="977"/>
      <c r="H63" s="324"/>
      <c r="I63" s="324"/>
      <c r="J63" s="324"/>
      <c r="K63" s="324"/>
      <c r="L63" s="324"/>
      <c r="M63" s="324"/>
      <c r="N63" s="324"/>
      <c r="O63" s="324"/>
      <c r="P63" s="324"/>
      <c r="Q63" s="324"/>
      <c r="R63" s="324"/>
      <c r="S63" s="426"/>
      <c r="T63" s="426"/>
      <c r="U63" s="324"/>
      <c r="V63" s="324"/>
      <c r="W63" s="381"/>
      <c r="X63" s="324"/>
      <c r="Y63" s="643"/>
      <c r="Z63" s="324"/>
      <c r="AA63" s="324"/>
      <c r="AB63" s="324"/>
      <c r="AC63" s="324"/>
      <c r="AD63" s="324"/>
      <c r="AE63" s="324"/>
      <c r="AF63" s="382"/>
      <c r="AG63" s="643"/>
      <c r="AH63"/>
    </row>
    <row r="64" spans="1:39" ht="15" customHeight="1">
      <c r="G64" s="970" t="s">
        <v>42</v>
      </c>
      <c r="H64" s="1146" t="s">
        <v>705</v>
      </c>
      <c r="I64" s="1146"/>
      <c r="J64" s="1146"/>
      <c r="K64" s="1146"/>
      <c r="L64" s="1146"/>
      <c r="M64" s="1146"/>
      <c r="N64" s="1146"/>
      <c r="O64" s="1146"/>
      <c r="P64" s="1146"/>
      <c r="Q64" s="1146"/>
      <c r="R64" s="1146"/>
      <c r="S64" s="1146"/>
      <c r="T64" s="1146"/>
      <c r="U64" s="1146"/>
      <c r="V64" s="1146"/>
      <c r="W64" s="1146"/>
      <c r="X64" s="1146"/>
      <c r="Y64" s="1146"/>
      <c r="Z64" s="1146"/>
      <c r="AA64" s="1146"/>
      <c r="AB64" s="1146"/>
      <c r="AC64" s="1146"/>
      <c r="AD64" s="1146"/>
      <c r="AE64" s="1146"/>
      <c r="AF64" s="1146"/>
      <c r="AG64" s="1146"/>
      <c r="AH64" s="410"/>
    </row>
    <row r="65" spans="7:34" ht="15" customHeight="1">
      <c r="G65" s="970" t="s">
        <v>44</v>
      </c>
      <c r="H65" s="1146" t="s">
        <v>844</v>
      </c>
      <c r="I65" s="1146"/>
      <c r="J65" s="1146"/>
      <c r="K65" s="1146"/>
      <c r="L65" s="1146"/>
      <c r="M65" s="1146"/>
      <c r="N65" s="1146"/>
      <c r="O65" s="1146"/>
      <c r="P65" s="1146"/>
      <c r="Q65" s="1146"/>
      <c r="R65" s="1146"/>
      <c r="S65" s="1146"/>
      <c r="T65" s="1146"/>
      <c r="U65" s="1146"/>
      <c r="V65" s="1146"/>
      <c r="W65" s="1146"/>
      <c r="X65" s="1146"/>
      <c r="Y65" s="1146"/>
      <c r="Z65" s="1146"/>
      <c r="AA65" s="1146"/>
      <c r="AB65" s="1146"/>
      <c r="AC65" s="1146"/>
      <c r="AD65" s="1146"/>
      <c r="AE65" s="1146"/>
      <c r="AF65" s="1146"/>
      <c r="AG65" s="1146"/>
      <c r="AH65" s="410"/>
    </row>
    <row r="71" spans="7:34">
      <c r="N71" s="252" t="str">
        <f>+IS!N$57</f>
        <v>2025 - Q1</v>
      </c>
      <c r="O71" s="252" t="str">
        <f>+IS!O$57</f>
        <v>2025 - Q2</v>
      </c>
      <c r="P71" s="252" t="str">
        <f>+IS!P$57</f>
        <v>2025 - Q3</v>
      </c>
      <c r="Q71" s="252" t="str">
        <f>+IS!Q$57</f>
        <v>2025 - Q4</v>
      </c>
      <c r="R71" s="273" t="str">
        <f>+IS!R$57</f>
        <v>2026 - Q1</v>
      </c>
      <c r="S71" s="346" t="str">
        <f>+IS!S$57</f>
        <v>2026 - Q2</v>
      </c>
      <c r="T71" s="346" t="str">
        <f>+IS!T$57</f>
        <v>2026 - Q3</v>
      </c>
      <c r="U71" s="252" t="str">
        <f>+IS!U$57</f>
        <v>2026 - Q4</v>
      </c>
    </row>
    <row r="72" spans="7:34">
      <c r="N72" s="252" t="str">
        <f>+IF(RIGHT(LEFT(N$4,2),1)&lt;=RIGHT(LEFT($B$1,2),1),"Yes","")</f>
        <v>Yes</v>
      </c>
      <c r="O72" s="252" t="str">
        <f t="shared" ref="O72:T72" si="44">+IF(RIGHT(LEFT(O$4,2),1)&lt;=RIGHT(LEFT($B$1,2),1),"Yes","")</f>
        <v>Yes</v>
      </c>
      <c r="P72" s="252" t="str">
        <f t="shared" si="44"/>
        <v/>
      </c>
      <c r="Q72" s="252" t="str">
        <f t="shared" si="44"/>
        <v/>
      </c>
      <c r="R72" s="273" t="str">
        <f t="shared" si="44"/>
        <v>Yes</v>
      </c>
      <c r="S72" s="346" t="str">
        <f t="shared" si="44"/>
        <v>Yes</v>
      </c>
      <c r="T72" s="346" t="str">
        <f t="shared" si="44"/>
        <v/>
      </c>
      <c r="U72" s="252" t="str">
        <f>+IF(RIGHT(LEFT(U$4,2),1)&lt;=RIGHT(LEFT($B$1,2),1),"Yes","")</f>
        <v/>
      </c>
    </row>
  </sheetData>
  <sheetProtection formatCells="0"/>
  <mergeCells count="54">
    <mergeCell ref="H39:M39"/>
    <mergeCell ref="H41:M41"/>
    <mergeCell ref="H44:M44"/>
    <mergeCell ref="H45:M45"/>
    <mergeCell ref="H65:AG65"/>
    <mergeCell ref="G58:M58"/>
    <mergeCell ref="H49:K49"/>
    <mergeCell ref="G53:M53"/>
    <mergeCell ref="H48:M48"/>
    <mergeCell ref="H50:M50"/>
    <mergeCell ref="H51:M51"/>
    <mergeCell ref="H61:M61"/>
    <mergeCell ref="H60:M60"/>
    <mergeCell ref="H47:M47"/>
    <mergeCell ref="H54:M54"/>
    <mergeCell ref="H55:M55"/>
    <mergeCell ref="H56:M56"/>
    <mergeCell ref="H59:M59"/>
    <mergeCell ref="I22:M22"/>
    <mergeCell ref="H46:K46"/>
    <mergeCell ref="G43:M43"/>
    <mergeCell ref="G34:M34"/>
    <mergeCell ref="I32:M32"/>
    <mergeCell ref="H35:M35"/>
    <mergeCell ref="H36:M36"/>
    <mergeCell ref="H30:M30"/>
    <mergeCell ref="I31:M31"/>
    <mergeCell ref="I23:K23"/>
    <mergeCell ref="H24:M24"/>
    <mergeCell ref="H25:M25"/>
    <mergeCell ref="I26:M26"/>
    <mergeCell ref="I27:M27"/>
    <mergeCell ref="H38:M38"/>
    <mergeCell ref="I11:M11"/>
    <mergeCell ref="I12:M12"/>
    <mergeCell ref="H14:M14"/>
    <mergeCell ref="H15:M15"/>
    <mergeCell ref="G19:M19"/>
    <mergeCell ref="AF3:AG3"/>
    <mergeCell ref="H1:AB1"/>
    <mergeCell ref="H64:AG64"/>
    <mergeCell ref="AC1:AG1"/>
    <mergeCell ref="G4:M4"/>
    <mergeCell ref="G6:M6"/>
    <mergeCell ref="H9:M9"/>
    <mergeCell ref="H20:M20"/>
    <mergeCell ref="X3:Y3"/>
    <mergeCell ref="H21:M21"/>
    <mergeCell ref="H7:M7"/>
    <mergeCell ref="I17:M17"/>
    <mergeCell ref="G5:M5"/>
    <mergeCell ref="I16:M16"/>
    <mergeCell ref="H10:M10"/>
    <mergeCell ref="H29:M29"/>
  </mergeCells>
  <phoneticPr fontId="68" type="noConversion"/>
  <dataValidations count="1">
    <dataValidation type="list" allowBlank="1" showInputMessage="1" showErrorMessage="1" sqref="C11" xr:uid="{7CC12BD8-E841-4632-82F1-0FDF37B22B3B}">
      <formula1>"YES, NO"</formula1>
    </dataValidation>
  </dataValidations>
  <pageMargins left="0.15" right="0.15" top="0.15" bottom="0.15" header="0" footer="0.15"/>
  <pageSetup scale="55"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ignoredErrors>
    <ignoredError sqref="R51"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187F-6232-4D82-A73A-613C43814E30}">
  <sheetPr>
    <pageSetUpPr fitToPage="1"/>
  </sheetPr>
  <dimension ref="A1:BW171"/>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7" width="4.109375" style="892" customWidth="1"/>
    <col min="8" max="12" width="4.109375" style="146" customWidth="1"/>
    <col min="13" max="13" width="31.109375" style="146" customWidth="1"/>
    <col min="14" max="18" width="12.6640625" style="146" customWidth="1"/>
    <col min="19" max="21" width="12.6640625" style="294" customWidth="1"/>
    <col min="22" max="23" width="0.88671875" style="146" customWidth="1"/>
    <col min="24" max="24" width="11.6640625" style="146" customWidth="1"/>
    <col min="25" max="25" width="9.88671875" style="641" customWidth="1"/>
    <col min="26" max="27" width="0.88671875" style="146" customWidth="1"/>
    <col min="28" max="29" width="13.6640625" style="146" bestFit="1" customWidth="1"/>
    <col min="30" max="31" width="0.88671875" style="146" customWidth="1"/>
    <col min="32" max="32" width="11.6640625" style="146" customWidth="1"/>
    <col min="33" max="33" width="9.88671875" style="652"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672</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986"/>
      <c r="H2" s="146"/>
      <c r="I2" s="146"/>
      <c r="J2" s="146"/>
      <c r="K2" s="146"/>
      <c r="L2" s="146"/>
      <c r="M2" s="146"/>
      <c r="S2" s="683"/>
      <c r="T2" s="683"/>
      <c r="U2" s="683"/>
      <c r="Y2" s="684"/>
      <c r="AG2" s="689"/>
      <c r="AH2" s="661"/>
    </row>
    <row r="3" spans="1:39" s="654" customFormat="1" ht="14.4">
      <c r="A3" s="656"/>
      <c r="B3" s="656"/>
      <c r="C3" s="656"/>
      <c r="D3" s="656"/>
      <c r="E3" s="656"/>
      <c r="F3" s="656"/>
      <c r="G3" s="987"/>
      <c r="H3" s="988"/>
      <c r="I3" s="988"/>
      <c r="J3" s="988"/>
      <c r="K3" s="988"/>
      <c r="L3" s="988"/>
      <c r="M3" s="988"/>
      <c r="S3" s="683"/>
      <c r="T3" s="683"/>
      <c r="U3" s="683"/>
      <c r="V3" s="658"/>
      <c r="W3" s="685"/>
      <c r="X3" s="1145" t="str">
        <f>+_xlfn.CONCAT("YOY ",LEFT(Manual!$D$1,2))</f>
        <v>YOY Q2</v>
      </c>
      <c r="Y3" s="1145"/>
      <c r="Z3" s="659"/>
      <c r="AA3" s="655"/>
      <c r="AD3" s="686"/>
      <c r="AE3" s="685"/>
      <c r="AF3" s="1145" t="s">
        <v>153</v>
      </c>
      <c r="AG3" s="1145"/>
      <c r="AH3" s="661"/>
    </row>
    <row r="4" spans="1:39" s="654" customFormat="1" ht="30" customHeight="1">
      <c r="A4" s="656"/>
      <c r="B4" s="656"/>
      <c r="C4" s="656"/>
      <c r="D4" s="656"/>
      <c r="E4" s="656"/>
      <c r="F4" s="656"/>
      <c r="G4" s="1144" t="s">
        <v>0</v>
      </c>
      <c r="H4" s="1144"/>
      <c r="I4" s="1144"/>
      <c r="J4" s="1144"/>
      <c r="K4" s="1144"/>
      <c r="L4" s="1144"/>
      <c r="M4" s="1144"/>
      <c r="N4" s="663" t="str">
        <f t="shared" ref="N4:U4" si="0">+_xlfn.CONCAT(RIGHT(N57,2),CHAR(10),LEFT(N57,4))</f>
        <v>Q1
2025</v>
      </c>
      <c r="O4" s="662" t="str">
        <f t="shared" si="0"/>
        <v>Q2
2025</v>
      </c>
      <c r="P4" s="662" t="str">
        <f t="shared" si="0"/>
        <v>Q3
2025</v>
      </c>
      <c r="Q4" s="662" t="str">
        <f t="shared" si="0"/>
        <v>Q4
2025</v>
      </c>
      <c r="R4" s="663" t="str">
        <f t="shared" si="0"/>
        <v>Q1
2026</v>
      </c>
      <c r="S4" s="662" t="str">
        <f t="shared" si="0"/>
        <v>Q2
2026</v>
      </c>
      <c r="T4" s="662" t="str">
        <f t="shared" si="0"/>
        <v>Q3
2026</v>
      </c>
      <c r="U4" s="662" t="str">
        <f t="shared" si="0"/>
        <v>Q4
2026</v>
      </c>
      <c r="V4" s="658"/>
      <c r="W4" s="685"/>
      <c r="X4" s="662" t="s">
        <v>151</v>
      </c>
      <c r="Y4" s="662" t="s">
        <v>152</v>
      </c>
      <c r="Z4" s="659"/>
      <c r="AA4" s="655"/>
      <c r="AB4" s="662" t="str">
        <f>+_xlfn.CONCAT("YTD ",RIGHT(Q4,4))</f>
        <v>YTD 2025</v>
      </c>
      <c r="AC4" s="662" t="str">
        <f>+_xlfn.CONCAT("YTD ",RIGHT(U4,4))</f>
        <v>YTD 2026</v>
      </c>
      <c r="AD4" s="686"/>
      <c r="AE4" s="685"/>
      <c r="AF4" s="687" t="s">
        <v>151</v>
      </c>
      <c r="AG4" s="687" t="s">
        <v>152</v>
      </c>
      <c r="AH4" s="661"/>
    </row>
    <row r="5" spans="1:39" ht="14.4">
      <c r="G5" s="1151" t="s">
        <v>672</v>
      </c>
      <c r="H5" s="1151"/>
      <c r="I5" s="1151"/>
      <c r="J5" s="1151"/>
      <c r="K5" s="1151"/>
      <c r="L5" s="1151"/>
      <c r="M5" s="1151"/>
      <c r="N5" s="149"/>
      <c r="O5" s="150"/>
      <c r="P5" s="150"/>
      <c r="Q5" s="150"/>
      <c r="R5" s="149"/>
      <c r="S5" s="150"/>
      <c r="T5" s="150"/>
      <c r="U5" s="150"/>
      <c r="V5" s="345"/>
      <c r="W5" s="342"/>
      <c r="X5" s="150"/>
      <c r="Y5" s="639"/>
      <c r="Z5" s="336"/>
      <c r="AA5" s="147"/>
      <c r="AB5" s="310"/>
      <c r="AC5" s="310"/>
      <c r="AD5" s="258"/>
      <c r="AE5" s="342"/>
      <c r="AF5" s="147"/>
      <c r="AH5"/>
    </row>
    <row r="6" spans="1:39" ht="14.4">
      <c r="G6" s="1152" t="s">
        <v>94</v>
      </c>
      <c r="H6" s="1152"/>
      <c r="I6" s="1152"/>
      <c r="J6" s="1152"/>
      <c r="K6" s="1152"/>
      <c r="L6" s="1152"/>
      <c r="M6" s="1152"/>
      <c r="N6" s="300"/>
      <c r="O6" s="294"/>
      <c r="P6" s="294"/>
      <c r="Q6" s="294"/>
      <c r="R6" s="300"/>
      <c r="V6" s="345"/>
      <c r="W6" s="346"/>
      <c r="X6" s="347"/>
      <c r="Y6" s="645"/>
      <c r="Z6" s="336"/>
      <c r="AA6" s="147"/>
      <c r="AB6" s="294"/>
      <c r="AC6" s="294"/>
      <c r="AD6" s="348"/>
      <c r="AE6" s="346"/>
      <c r="AF6" s="147"/>
      <c r="AH6"/>
    </row>
    <row r="7" spans="1:39" s="610" customFormat="1" ht="14.4">
      <c r="A7" s="600"/>
      <c r="B7" s="600"/>
      <c r="C7" s="600"/>
      <c r="D7" s="600"/>
      <c r="E7" s="600"/>
      <c r="F7" s="600"/>
      <c r="G7" s="963"/>
      <c r="H7" s="1134" t="s">
        <v>95</v>
      </c>
      <c r="I7" s="1134"/>
      <c r="J7" s="1134"/>
      <c r="K7" s="1134"/>
      <c r="L7" s="1134"/>
      <c r="M7" s="1134"/>
      <c r="N7" s="602">
        <f t="shared" ref="N7:S8" si="1">+SUMIF($H$58:$H$294,$H7,N$58:N$294)*SUMIF($H$58:$H$294,$H7,$G$58:$G$294)</f>
        <v>858844.65038412961</v>
      </c>
      <c r="O7" s="601">
        <f t="shared" si="1"/>
        <v>866254.47920119704</v>
      </c>
      <c r="P7" s="601">
        <f t="shared" si="1"/>
        <v>868650.95454983681</v>
      </c>
      <c r="Q7" s="601">
        <f t="shared" si="1"/>
        <v>869029.95904322609</v>
      </c>
      <c r="R7" s="602">
        <f t="shared" si="1"/>
        <v>871245.85693240829</v>
      </c>
      <c r="S7" s="601">
        <f t="shared" si="1"/>
        <v>877753.55957243673</v>
      </c>
      <c r="T7" s="601"/>
      <c r="U7" s="601"/>
      <c r="V7" s="604"/>
      <c r="W7" s="668"/>
      <c r="X7" s="601">
        <f>+SUMIF($N$4:$U$4,$B$1,$N7:$U7)-SUMIF($N$4:$U$4,$A$1,$N7:$U7)</f>
        <v>11499.080371239688</v>
      </c>
      <c r="Y7" s="902">
        <f>IF(OR(ABS(IF(X7&lt;0,-ABS(X7/SUMIF($N$4:$U$4,$A$1,$N7:$U7)),ABS(X7/SUMIF($N$4:$U$4,$A$1,$N7:$U7))))&lt;minvar,ABS(IF(X7&lt;0,-ABS(X7/SUMIF($N$4:$U$4,$A$1,$N7:$U7)),ABS(X7/SUMIF($N$4:$U$4,$A$1,$N7:$U7))))&gt;maxvar)=TRUE,"nm",IF(X7&lt;0,-ABS(X7/SUMIF($N$4:$U$4,$A$1,$N7:$U7)),ABS(X7/SUMIF($N$4:$U$4,$A$1,$N7:$U7))))</f>
        <v>1.3274483015479914E-2</v>
      </c>
      <c r="Z7" s="614"/>
      <c r="AA7" s="605"/>
      <c r="AB7" s="601">
        <f>+SUMIF($N$56:$Q$56,"Yes",$N7:$Q7)</f>
        <v>1725099.1295853266</v>
      </c>
      <c r="AC7" s="601">
        <f>+SUMIF($R$56:$U$56,"Yes",$R7:$U7)</f>
        <v>1748999.416504845</v>
      </c>
      <c r="AD7" s="603"/>
      <c r="AE7" s="668"/>
      <c r="AF7" s="601">
        <f>+$AC7-$AB7</f>
        <v>23900.286919518374</v>
      </c>
      <c r="AG7" s="902">
        <f>IF(OR(ABS(IF(AF7&lt;0,-ABS(AF7/$AB7),ABS(AF7/$AB7)))&lt;minvar,ABS(IF(AF7&lt;0,-ABS(AF7/$AB7),ABS(AF7/$AB7)))&gt;maxvar)=TRUE,"nm",IF(AF7&lt;0,-ABS(AF7/$AB7),ABS(AF7/$AB7)))</f>
        <v>1.3854442628617777E-2</v>
      </c>
      <c r="AH7" s="609"/>
    </row>
    <row r="8" spans="1:39" s="636" customFormat="1" ht="14.4">
      <c r="A8" s="626"/>
      <c r="B8" s="626"/>
      <c r="C8" s="626"/>
      <c r="D8" s="626"/>
      <c r="E8" s="626"/>
      <c r="F8" s="626"/>
      <c r="G8" s="963"/>
      <c r="H8" s="1134" t="s">
        <v>96</v>
      </c>
      <c r="I8" s="1134"/>
      <c r="J8" s="1134"/>
      <c r="K8" s="1134"/>
      <c r="L8" s="1134"/>
      <c r="M8" s="1134"/>
      <c r="N8" s="630">
        <f t="shared" si="1"/>
        <v>-410521.49956292834</v>
      </c>
      <c r="O8" s="629">
        <f t="shared" si="1"/>
        <v>-433408.48529131553</v>
      </c>
      <c r="P8" s="629">
        <f t="shared" si="1"/>
        <v>-414103.85179506184</v>
      </c>
      <c r="Q8" s="629">
        <f t="shared" si="1"/>
        <v>-420843.29493054264</v>
      </c>
      <c r="R8" s="630">
        <f t="shared" si="1"/>
        <v>-414858.90556885977</v>
      </c>
      <c r="S8" s="629">
        <f t="shared" si="1"/>
        <v>-442280.29401642876</v>
      </c>
      <c r="T8" s="629"/>
      <c r="U8" s="629"/>
      <c r="V8" s="633"/>
      <c r="W8" s="671"/>
      <c r="X8" s="629">
        <f>+SUMIF($N$4:$U$4,$B$1,$N8:$U8)-SUMIF($N$4:$U$4,$A$1,$N8:$U8)</f>
        <v>-8871.8087251132238</v>
      </c>
      <c r="Y8" s="902">
        <f>IF(OR(ABS(IF(X8&lt;0,-ABS(X8/SUMIF($N$4:$U$4,$A$1,$N8:$U8)),ABS(X8/SUMIF($N$4:$U$4,$A$1,$N8:$U8))))&lt;minvar,ABS(IF(X8&lt;0,-ABS(X8/SUMIF($N$4:$U$4,$A$1,$N8:$U8)),ABS(X8/SUMIF($N$4:$U$4,$A$1,$N8:$U8))))&gt;maxvar)=TRUE,"nm",IF(X8&lt;0,-ABS(X8/SUMIF($N$4:$U$4,$A$1,$N8:$U8)),ABS(X8/SUMIF($N$4:$U$4,$A$1,$N8:$U8))))</f>
        <v>-2.0469854712581451E-2</v>
      </c>
      <c r="Z8" s="672"/>
      <c r="AA8" s="634"/>
      <c r="AB8" s="629">
        <f>+SUMIF($N$56:$Q$56,"Yes",$N8:$Q8)</f>
        <v>-843929.98485424393</v>
      </c>
      <c r="AC8" s="629">
        <f>+SUMIF($R$56:$U$56,"Yes",$R8:$U8)</f>
        <v>-857139.19958528853</v>
      </c>
      <c r="AD8" s="631"/>
      <c r="AE8" s="671"/>
      <c r="AF8" s="629">
        <f t="shared" ref="AF8:AF10" si="2">+$AC8-$AB8</f>
        <v>-13209.214731044602</v>
      </c>
      <c r="AG8" s="902">
        <f>IF(OR(ABS(IF(AF8&lt;0,-ABS(AF8/$AB8),ABS(AF8/$AB8)))&lt;minvar,ABS(IF(AF8&lt;0,-ABS(AF8/$AB8),ABS(AF8/$AB8)))&gt;maxvar)=TRUE,"nm",IF(AF8&lt;0,-ABS(AF8/$AB8),ABS(AF8/$AB8)))</f>
        <v>-1.5652026789077744E-2</v>
      </c>
      <c r="AH8" s="635"/>
      <c r="AJ8" s="610"/>
      <c r="AK8" s="610"/>
      <c r="AL8" s="610"/>
      <c r="AM8" s="610"/>
    </row>
    <row r="9" spans="1:39" s="636" customFormat="1" ht="14.4">
      <c r="A9" s="626"/>
      <c r="B9" s="626"/>
      <c r="C9" s="626"/>
      <c r="D9" s="626"/>
      <c r="E9" s="626"/>
      <c r="F9" s="626"/>
      <c r="G9" s="963"/>
      <c r="H9" s="964"/>
      <c r="I9" s="1134" t="s">
        <v>97</v>
      </c>
      <c r="J9" s="1134"/>
      <c r="K9" s="1134"/>
      <c r="L9" s="1134"/>
      <c r="M9" s="1134"/>
      <c r="N9" s="674">
        <f t="shared" ref="N9:Q9" si="3">+SUM(N7:N8)</f>
        <v>448323.15082120127</v>
      </c>
      <c r="O9" s="673">
        <f t="shared" si="3"/>
        <v>432845.99390988151</v>
      </c>
      <c r="P9" s="673">
        <f t="shared" si="3"/>
        <v>454547.10275477497</v>
      </c>
      <c r="Q9" s="673">
        <f t="shared" si="3"/>
        <v>448186.66411268344</v>
      </c>
      <c r="R9" s="674">
        <f t="shared" ref="R9:S9" si="4">+SUM(R7:R8)</f>
        <v>456386.95136354852</v>
      </c>
      <c r="S9" s="673">
        <f t="shared" si="4"/>
        <v>435473.26555600797</v>
      </c>
      <c r="T9" s="673"/>
      <c r="U9" s="673"/>
      <c r="V9" s="633"/>
      <c r="W9" s="671"/>
      <c r="X9" s="673">
        <f>+SUMIF($N$4:$U$4,$B$1,$N9:$U9)-SUMIF($N$4:$U$4,$A$1,$N9:$U9)</f>
        <v>2627.2716461264645</v>
      </c>
      <c r="Y9" s="904">
        <f>IF(OR(ABS(IF(X9&lt;0,-ABS(X9/SUMIF($N$4:$U$4,$A$1,$N9:$U9)),ABS(X9/SUMIF($N$4:$U$4,$A$1,$N9:$U9))))&lt;minvar,ABS(IF(X9&lt;0,-ABS(X9/SUMIF($N$4:$U$4,$A$1,$N9:$U9)),ABS(X9/SUMIF($N$4:$U$4,$A$1,$N9:$U9))))&gt;maxvar)=TRUE,"nm",IF(X9&lt;0,-ABS(X9/SUMIF($N$4:$U$4,$A$1,$N9:$U9)),ABS(X9/SUMIF($N$4:$U$4,$A$1,$N9:$U9))))</f>
        <v>6.0697607996655321E-3</v>
      </c>
      <c r="Z9" s="672"/>
      <c r="AA9" s="634"/>
      <c r="AB9" s="673">
        <f>+SUMIF($N$56:$Q$56,"Yes",$N9:$Q9)</f>
        <v>881169.14473108272</v>
      </c>
      <c r="AC9" s="673">
        <f>+SUMIF($R$56:$U$56,"Yes",$R9:$U9)</f>
        <v>891860.21691955649</v>
      </c>
      <c r="AD9" s="631"/>
      <c r="AE9" s="671"/>
      <c r="AF9" s="673">
        <f t="shared" si="2"/>
        <v>10691.072188473772</v>
      </c>
      <c r="AG9" s="904">
        <f>IF(OR(ABS(IF(AF9&lt;0,-ABS(AF9/$AB9),ABS(AF9/$AB9)))&lt;minvar,ABS(IF(AF9&lt;0,-ABS(AF9/$AB9),ABS(AF9/$AB9)))&gt;maxvar)=TRUE,"nm",IF(AF9&lt;0,-ABS(AF9/$AB9),ABS(AF9/$AB9)))</f>
        <v>1.2132826316491709E-2</v>
      </c>
      <c r="AH9" s="635"/>
      <c r="AJ9" s="610"/>
      <c r="AK9" s="610"/>
      <c r="AL9" s="610"/>
      <c r="AM9" s="610"/>
    </row>
    <row r="10" spans="1:39" s="636" customFormat="1" ht="14.4">
      <c r="A10" s="626"/>
      <c r="B10" s="626"/>
      <c r="C10" s="626"/>
      <c r="D10" s="626"/>
      <c r="E10" s="626"/>
      <c r="F10" s="626"/>
      <c r="G10" s="963"/>
      <c r="H10" s="1134" t="s">
        <v>98</v>
      </c>
      <c r="I10" s="1134"/>
      <c r="J10" s="1134"/>
      <c r="K10" s="1134"/>
      <c r="L10" s="1134"/>
      <c r="M10" s="1134"/>
      <c r="N10" s="630">
        <f t="shared" ref="N10:S10" si="5">+SUMIF($H$58:$H$294,$H10,N$58:N$294)*SUMIF($H$58:$H$294,$H10,$G$58:$G$294)</f>
        <v>41671.07165379556</v>
      </c>
      <c r="O10" s="629">
        <f t="shared" si="5"/>
        <v>40928.088615971748</v>
      </c>
      <c r="P10" s="629">
        <f t="shared" si="5"/>
        <v>42430.843660362589</v>
      </c>
      <c r="Q10" s="629">
        <f t="shared" si="5"/>
        <v>42122.20925036721</v>
      </c>
      <c r="R10" s="630">
        <f t="shared" si="5"/>
        <v>43283.190339651846</v>
      </c>
      <c r="S10" s="629">
        <f t="shared" si="5"/>
        <v>43737.713263577185</v>
      </c>
      <c r="T10" s="629"/>
      <c r="U10" s="629"/>
      <c r="V10" s="633"/>
      <c r="W10" s="671"/>
      <c r="X10" s="629">
        <f>+SUMIF($N$4:$U$4,$B$1,$N10:$U10)-SUMIF($N$4:$U$4,$A$1,$N10:$U10)</f>
        <v>2809.6246476054366</v>
      </c>
      <c r="Y10" s="902">
        <f>IF(OR(ABS(IF(X10&lt;0,-ABS(X10/SUMIF($N$4:$U$4,$A$1,$N10:$U10)),ABS(X10/SUMIF($N$4:$U$4,$A$1,$N10:$U10))))&lt;minvar,ABS(IF(X10&lt;0,-ABS(X10/SUMIF($N$4:$U$4,$A$1,$N10:$U10)),ABS(X10/SUMIF($N$4:$U$4,$A$1,$N10:$U10))))&gt;maxvar)=TRUE,"nm",IF(X10&lt;0,-ABS(X10/SUMIF($N$4:$U$4,$A$1,$N10:$U10)),ABS(X10/SUMIF($N$4:$U$4,$A$1,$N10:$U10))))</f>
        <v>6.8647834350832854E-2</v>
      </c>
      <c r="Z10" s="672"/>
      <c r="AA10" s="634"/>
      <c r="AB10" s="629">
        <f>+SUMIF($N$56:$Q$56,"Yes",$N10:$Q10)</f>
        <v>82599.160269767308</v>
      </c>
      <c r="AC10" s="629">
        <f>+SUMIF($R$56:$U$56,"Yes",$R10:$U10)</f>
        <v>87020.903603229031</v>
      </c>
      <c r="AD10" s="631"/>
      <c r="AE10" s="671"/>
      <c r="AF10" s="629">
        <f t="shared" si="2"/>
        <v>4421.7433334617235</v>
      </c>
      <c r="AG10" s="902">
        <f>IF(OR(ABS(IF(AF10&lt;0,-ABS(AF10/$AB10),ABS(AF10/$AB10)))&lt;minvar,ABS(IF(AF10&lt;0,-ABS(AF10/$AB10),ABS(AF10/$AB10)))&gt;maxvar)=TRUE,"nm",IF(AF10&lt;0,-ABS(AF10/$AB10),ABS(AF10/$AB10)))</f>
        <v>5.3532545839696105E-2</v>
      </c>
      <c r="AH10" s="635"/>
      <c r="AJ10" s="610"/>
      <c r="AK10" s="610"/>
      <c r="AL10" s="610"/>
      <c r="AM10" s="610"/>
    </row>
    <row r="11" spans="1:39" s="636" customFormat="1" ht="14.4">
      <c r="A11" s="626"/>
      <c r="B11" s="626"/>
      <c r="C11" s="626"/>
      <c r="D11" s="626"/>
      <c r="E11" s="626"/>
      <c r="F11" s="626"/>
      <c r="G11" s="963"/>
      <c r="H11" s="1134" t="s">
        <v>99</v>
      </c>
      <c r="I11" s="1134"/>
      <c r="J11" s="1134"/>
      <c r="K11" s="1134"/>
      <c r="L11" s="1134"/>
      <c r="M11" s="1134"/>
      <c r="N11" s="630"/>
      <c r="O11" s="629"/>
      <c r="P11" s="629"/>
      <c r="Q11" s="629"/>
      <c r="R11" s="630"/>
      <c r="S11" s="629"/>
      <c r="T11" s="629"/>
      <c r="U11" s="629"/>
      <c r="V11" s="633"/>
      <c r="W11" s="675"/>
      <c r="X11" s="629"/>
      <c r="Y11" s="902"/>
      <c r="Z11" s="672"/>
      <c r="AA11" s="634"/>
      <c r="AB11" s="629"/>
      <c r="AC11" s="629"/>
      <c r="AD11" s="631"/>
      <c r="AE11" s="675"/>
      <c r="AF11" s="629"/>
      <c r="AG11" s="902"/>
      <c r="AH11" s="635"/>
      <c r="AJ11" s="610"/>
      <c r="AK11" s="610"/>
      <c r="AL11" s="610"/>
      <c r="AM11" s="610"/>
    </row>
    <row r="12" spans="1:39" s="636" customFormat="1" ht="15" customHeight="1">
      <c r="A12" s="626"/>
      <c r="B12" s="626"/>
      <c r="C12" s="626"/>
      <c r="D12" s="626"/>
      <c r="E12" s="626"/>
      <c r="F12" s="626"/>
      <c r="G12" s="963"/>
      <c r="H12" s="964"/>
      <c r="I12" s="1137" t="s">
        <v>779</v>
      </c>
      <c r="J12" s="1134"/>
      <c r="K12" s="1134"/>
      <c r="L12" s="1134"/>
      <c r="M12" s="1134"/>
      <c r="N12" s="630">
        <f t="shared" ref="N12:S12" si="6">+SUMIF($H$58:$H$90,$I12,N$58:N$90)*SUMIF($H$58:$H$90,$I12,$G$58:$G$90)</f>
        <v>111270.37773963185</v>
      </c>
      <c r="O12" s="629">
        <f t="shared" si="6"/>
        <v>115933.33368721513</v>
      </c>
      <c r="P12" s="629">
        <f t="shared" si="6"/>
        <v>118637.09193690094</v>
      </c>
      <c r="Q12" s="629">
        <f t="shared" si="6"/>
        <v>131305.31036238626</v>
      </c>
      <c r="R12" s="630">
        <f t="shared" si="6"/>
        <v>136355.10899602814</v>
      </c>
      <c r="S12" s="629">
        <f t="shared" si="6"/>
        <v>135509.10549501408</v>
      </c>
      <c r="T12" s="629"/>
      <c r="U12" s="629"/>
      <c r="V12" s="633"/>
      <c r="W12" s="671"/>
      <c r="X12" s="629">
        <f t="shared" ref="X12:X18" si="7">+SUMIF($N$4:$U$4,$B$1,$N12:$U12)-SUMIF($N$4:$U$4,$A$1,$N12:$U12)</f>
        <v>19575.771807798956</v>
      </c>
      <c r="Y12" s="902">
        <f t="shared" ref="Y12:Y18" si="8">IF(OR(ABS(IF(X12&lt;0,-ABS(X12/SUMIF($N$4:$U$4,$A$1,$N12:$U12)),ABS(X12/SUMIF($N$4:$U$4,$A$1,$N12:$U12))))&lt;minvar,ABS(IF(X12&lt;0,-ABS(X12/SUMIF($N$4:$U$4,$A$1,$N12:$U12)),ABS(X12/SUMIF($N$4:$U$4,$A$1,$N12:$U12))))&gt;maxvar)=TRUE,"nm",IF(X12&lt;0,-ABS(X12/SUMIF($N$4:$U$4,$A$1,$N12:$U12)),ABS(X12/SUMIF($N$4:$U$4,$A$1,$N12:$U12))))</f>
        <v>0.16885369535403716</v>
      </c>
      <c r="Z12" s="672"/>
      <c r="AA12" s="634"/>
      <c r="AB12" s="629">
        <f t="shared" ref="AB12:AB18" si="9">+SUMIF($N$56:$Q$56,"Yes",$N12:$Q12)</f>
        <v>227203.71142684697</v>
      </c>
      <c r="AC12" s="629">
        <f t="shared" ref="AC12:AC18" si="10">+SUMIF($R$56:$U$56,"Yes",$R12:$U12)</f>
        <v>271864.21449104219</v>
      </c>
      <c r="AD12" s="631"/>
      <c r="AE12" s="671"/>
      <c r="AF12" s="629">
        <f t="shared" ref="AF12:AF18" si="11">+$AC12-$AB12</f>
        <v>44660.503064195218</v>
      </c>
      <c r="AG12" s="902">
        <f t="shared" ref="AG12:AG18" si="12">IF(OR(ABS(IF(AF12&lt;0,-ABS(AF12/$AB12),ABS(AF12/$AB12)))&lt;minvar,ABS(IF(AF12&lt;0,-ABS(AF12/$AB12),ABS(AF12/$AB12)))&gt;maxvar)=TRUE,"nm",IF(AF12&lt;0,-ABS(AF12/$AB12),ABS(AF12/$AB12)))</f>
        <v>0.19656590459603743</v>
      </c>
      <c r="AH12" s="635"/>
      <c r="AJ12" s="610"/>
      <c r="AK12" s="610"/>
      <c r="AL12" s="610"/>
      <c r="AM12" s="610"/>
    </row>
    <row r="13" spans="1:39" s="636" customFormat="1" ht="15" customHeight="1">
      <c r="A13" s="626"/>
      <c r="B13" s="626"/>
      <c r="C13" s="626"/>
      <c r="D13" s="626"/>
      <c r="E13" s="626"/>
      <c r="F13" s="626"/>
      <c r="G13" s="963"/>
      <c r="H13" s="964"/>
      <c r="I13" s="1137" t="s">
        <v>780</v>
      </c>
      <c r="J13" s="1134"/>
      <c r="K13" s="1134"/>
      <c r="L13" s="1134"/>
      <c r="M13" s="1134"/>
      <c r="N13" s="630">
        <f t="shared" ref="N13:S15" si="13">+SUMIF($H$58:$H$94,$I13,N$58:N$94)*SUMIF($H$58:$H$94,$I13,$G$58:$G$94)</f>
        <v>152014.43639187611</v>
      </c>
      <c r="O13" s="629">
        <f t="shared" si="13"/>
        <v>154734.58171857041</v>
      </c>
      <c r="P13" s="629">
        <f t="shared" si="13"/>
        <v>172286.48846890862</v>
      </c>
      <c r="Q13" s="629">
        <f t="shared" si="13"/>
        <v>181407.47323064195</v>
      </c>
      <c r="R13" s="630">
        <f t="shared" si="13"/>
        <v>187366.4282321558</v>
      </c>
      <c r="S13" s="629">
        <f t="shared" si="13"/>
        <v>197598.41666312199</v>
      </c>
      <c r="T13" s="629"/>
      <c r="U13" s="629"/>
      <c r="V13" s="633"/>
      <c r="W13" s="671"/>
      <c r="X13" s="629">
        <f t="shared" si="7"/>
        <v>42863.834944551578</v>
      </c>
      <c r="Y13" s="902">
        <f t="shared" si="8"/>
        <v>0.27701522483520757</v>
      </c>
      <c r="Z13" s="672"/>
      <c r="AA13" s="634"/>
      <c r="AB13" s="629">
        <f t="shared" si="9"/>
        <v>306749.01811044652</v>
      </c>
      <c r="AC13" s="629">
        <f t="shared" si="10"/>
        <v>384964.84489527775</v>
      </c>
      <c r="AD13" s="631"/>
      <c r="AE13" s="671"/>
      <c r="AF13" s="629">
        <f t="shared" si="11"/>
        <v>78215.826784831239</v>
      </c>
      <c r="AG13" s="902">
        <f t="shared" si="12"/>
        <v>0.25498313659367361</v>
      </c>
      <c r="AH13" s="635"/>
      <c r="AJ13" s="610"/>
      <c r="AK13" s="610"/>
      <c r="AL13" s="610"/>
      <c r="AM13" s="610"/>
    </row>
    <row r="14" spans="1:39" s="636" customFormat="1" ht="15" customHeight="1">
      <c r="A14" s="626"/>
      <c r="B14" s="626"/>
      <c r="C14" s="626"/>
      <c r="D14" s="626"/>
      <c r="E14" s="626"/>
      <c r="F14" s="626"/>
      <c r="G14" s="963"/>
      <c r="H14" s="964"/>
      <c r="I14" s="1137" t="s">
        <v>781</v>
      </c>
      <c r="J14" s="1134"/>
      <c r="K14" s="1134"/>
      <c r="L14" s="1134"/>
      <c r="M14" s="1134"/>
      <c r="N14" s="630">
        <f t="shared" si="13"/>
        <v>24194.529030000002</v>
      </c>
      <c r="O14" s="629">
        <f t="shared" si="13"/>
        <v>24393.52131</v>
      </c>
      <c r="P14" s="629">
        <f t="shared" si="13"/>
        <v>24420.185280000002</v>
      </c>
      <c r="Q14" s="629">
        <f t="shared" si="13"/>
        <v>24347.207630000001</v>
      </c>
      <c r="R14" s="630">
        <f t="shared" si="13"/>
        <v>23618.55299</v>
      </c>
      <c r="S14" s="629">
        <f t="shared" si="13"/>
        <v>24118.351420000003</v>
      </c>
      <c r="T14" s="629"/>
      <c r="U14" s="629"/>
      <c r="V14" s="633"/>
      <c r="W14" s="671"/>
      <c r="X14" s="629">
        <f t="shared" si="7"/>
        <v>-275.16988999999739</v>
      </c>
      <c r="Y14" s="902">
        <f t="shared" si="8"/>
        <v>-1.1280449694124025E-2</v>
      </c>
      <c r="Z14" s="672"/>
      <c r="AA14" s="634"/>
      <c r="AB14" s="629">
        <f t="shared" si="9"/>
        <v>48588.050340000002</v>
      </c>
      <c r="AC14" s="629">
        <f t="shared" si="10"/>
        <v>47736.904410000003</v>
      </c>
      <c r="AD14" s="631"/>
      <c r="AE14" s="671"/>
      <c r="AF14" s="629">
        <f>+$AC14-$AB14</f>
        <v>-851.14592999999877</v>
      </c>
      <c r="AG14" s="902">
        <f>IF(OR(ABS(IF(AF14&lt;0,-ABS(AF14/$AB14),ABS(AF14/$AB14)))&lt;minvar,ABS(IF(AF14&lt;0,-ABS(AF14/$AB14),ABS(AF14/$AB14)))&gt;maxvar)=TRUE,"nm",IF(AF14&lt;0,-ABS(AF14/$AB14),ABS(AF14/$AB14)))</f>
        <v>-1.7517597928791449E-2</v>
      </c>
      <c r="AH14" s="635"/>
      <c r="AJ14" s="610"/>
      <c r="AK14" s="610"/>
      <c r="AL14" s="610"/>
      <c r="AM14" s="610"/>
    </row>
    <row r="15" spans="1:39" s="636" customFormat="1" ht="15" customHeight="1">
      <c r="A15" s="626"/>
      <c r="B15" s="626"/>
      <c r="C15" s="626"/>
      <c r="D15" s="626"/>
      <c r="E15" s="626"/>
      <c r="F15" s="626"/>
      <c r="G15" s="963"/>
      <c r="H15" s="964"/>
      <c r="I15" s="1134" t="s">
        <v>100</v>
      </c>
      <c r="J15" s="1134"/>
      <c r="K15" s="1134"/>
      <c r="L15" s="1134"/>
      <c r="M15" s="1134"/>
      <c r="N15" s="630">
        <f t="shared" si="13"/>
        <v>9477.4165986872849</v>
      </c>
      <c r="O15" s="629">
        <f t="shared" si="13"/>
        <v>10970.242599385203</v>
      </c>
      <c r="P15" s="629">
        <f t="shared" si="13"/>
        <v>10146.016188085216</v>
      </c>
      <c r="Q15" s="629">
        <f t="shared" si="13"/>
        <v>10326.106000811344</v>
      </c>
      <c r="R15" s="630">
        <f t="shared" si="13"/>
        <v>9401.1655825653579</v>
      </c>
      <c r="S15" s="629">
        <f t="shared" si="13"/>
        <v>11384.642924148931</v>
      </c>
      <c r="T15" s="629"/>
      <c r="U15" s="629"/>
      <c r="V15" s="633"/>
      <c r="W15" s="671"/>
      <c r="X15" s="629">
        <f t="shared" si="7"/>
        <v>414.40032476372835</v>
      </c>
      <c r="Y15" s="902">
        <f t="shared" si="8"/>
        <v>3.7774946270281412E-2</v>
      </c>
      <c r="Z15" s="672"/>
      <c r="AA15" s="634"/>
      <c r="AB15" s="629">
        <f t="shared" si="9"/>
        <v>20447.659198072488</v>
      </c>
      <c r="AC15" s="629">
        <f t="shared" si="10"/>
        <v>20785.808506714289</v>
      </c>
      <c r="AD15" s="631"/>
      <c r="AE15" s="671"/>
      <c r="AF15" s="629">
        <f t="shared" si="11"/>
        <v>338.14930864180133</v>
      </c>
      <c r="AG15" s="902">
        <f t="shared" si="12"/>
        <v>1.6537311452925488E-2</v>
      </c>
      <c r="AH15" s="635"/>
      <c r="AJ15" s="610"/>
      <c r="AK15" s="610"/>
      <c r="AL15" s="610"/>
      <c r="AM15" s="610"/>
    </row>
    <row r="16" spans="1:39" s="636" customFormat="1" ht="14.4">
      <c r="A16" s="626"/>
      <c r="B16" s="626"/>
      <c r="C16" s="626"/>
      <c r="D16" s="626"/>
      <c r="E16" s="626"/>
      <c r="F16" s="626"/>
      <c r="G16" s="963"/>
      <c r="H16" s="1134" t="s">
        <v>101</v>
      </c>
      <c r="I16" s="1134"/>
      <c r="J16" s="1134"/>
      <c r="K16" s="1134"/>
      <c r="L16" s="1134"/>
      <c r="M16" s="1134"/>
      <c r="N16" s="630">
        <f t="shared" ref="N16:S17" si="14">+SUMIF($H$58:$H$294,$H16,N$58:N$294)*SUMIF($H$58:$H$294,$H16,$G$58:$G$294)</f>
        <v>756.85824000000002</v>
      </c>
      <c r="O16" s="629">
        <f t="shared" si="14"/>
        <v>-2865.960541993572</v>
      </c>
      <c r="P16" s="629">
        <f t="shared" si="14"/>
        <v>652.12741000000005</v>
      </c>
      <c r="Q16" s="629">
        <f t="shared" si="14"/>
        <v>640.90015933123004</v>
      </c>
      <c r="R16" s="630">
        <f t="shared" si="14"/>
        <v>395.75826999999998</v>
      </c>
      <c r="S16" s="629">
        <f t="shared" si="14"/>
        <v>1690.7668738471536</v>
      </c>
      <c r="T16" s="629"/>
      <c r="U16" s="629"/>
      <c r="V16" s="633"/>
      <c r="W16" s="671"/>
      <c r="X16" s="629">
        <f t="shared" si="7"/>
        <v>4556.7274158407254</v>
      </c>
      <c r="Y16" s="902" t="s">
        <v>192</v>
      </c>
      <c r="Z16" s="672"/>
      <c r="AA16" s="634"/>
      <c r="AB16" s="629">
        <f t="shared" si="9"/>
        <v>-2109.1023019935719</v>
      </c>
      <c r="AC16" s="629">
        <f t="shared" si="10"/>
        <v>2086.5251438471537</v>
      </c>
      <c r="AD16" s="631"/>
      <c r="AE16" s="671"/>
      <c r="AF16" s="629">
        <f t="shared" si="11"/>
        <v>4195.6274458407261</v>
      </c>
      <c r="AG16" s="902" t="s">
        <v>192</v>
      </c>
      <c r="AH16" s="635"/>
      <c r="AJ16" s="610"/>
      <c r="AK16" s="610"/>
      <c r="AL16" s="610"/>
      <c r="AM16" s="610"/>
    </row>
    <row r="17" spans="1:39" s="636" customFormat="1" ht="14.4">
      <c r="A17" s="626"/>
      <c r="B17" s="626"/>
      <c r="C17" s="626"/>
      <c r="D17" s="626"/>
      <c r="E17" s="626"/>
      <c r="F17" s="626"/>
      <c r="G17" s="963"/>
      <c r="H17" s="1134" t="s">
        <v>35</v>
      </c>
      <c r="I17" s="1134"/>
      <c r="J17" s="1134"/>
      <c r="K17" s="1134"/>
      <c r="L17" s="1134"/>
      <c r="M17" s="1134"/>
      <c r="N17" s="630">
        <f t="shared" si="14"/>
        <v>17135.085172350016</v>
      </c>
      <c r="O17" s="629">
        <f t="shared" si="14"/>
        <v>16394.237594774455</v>
      </c>
      <c r="P17" s="629">
        <f t="shared" si="14"/>
        <v>16732.038318170824</v>
      </c>
      <c r="Q17" s="629">
        <f t="shared" si="14"/>
        <v>15347.373763056836</v>
      </c>
      <c r="R17" s="630">
        <f t="shared" si="14"/>
        <v>15885.966681338579</v>
      </c>
      <c r="S17" s="629">
        <f t="shared" si="14"/>
        <v>15553.918169481836</v>
      </c>
      <c r="T17" s="629"/>
      <c r="U17" s="629"/>
      <c r="V17" s="633"/>
      <c r="W17" s="671"/>
      <c r="X17" s="629">
        <f t="shared" si="7"/>
        <v>-840.31942529261869</v>
      </c>
      <c r="Y17" s="902">
        <f t="shared" si="8"/>
        <v>-5.1256999322765971E-2</v>
      </c>
      <c r="Z17" s="672"/>
      <c r="AA17" s="634"/>
      <c r="AB17" s="629">
        <f t="shared" si="9"/>
        <v>33529.322767124468</v>
      </c>
      <c r="AC17" s="629">
        <f t="shared" si="10"/>
        <v>31439.884850820417</v>
      </c>
      <c r="AD17" s="631"/>
      <c r="AE17" s="671"/>
      <c r="AF17" s="629">
        <f t="shared" si="11"/>
        <v>-2089.4379163040503</v>
      </c>
      <c r="AG17" s="902">
        <f t="shared" si="12"/>
        <v>-6.2316734841800808E-2</v>
      </c>
      <c r="AH17" s="635"/>
      <c r="AJ17" s="610"/>
      <c r="AK17" s="610"/>
      <c r="AL17" s="610"/>
      <c r="AM17" s="610"/>
    </row>
    <row r="18" spans="1:39" s="636" customFormat="1" ht="15" customHeight="1">
      <c r="A18" s="626"/>
      <c r="B18" s="626"/>
      <c r="C18" s="626"/>
      <c r="D18" s="626"/>
      <c r="E18" s="626"/>
      <c r="F18" s="626"/>
      <c r="G18" s="972"/>
      <c r="H18" s="989"/>
      <c r="I18" s="989"/>
      <c r="J18" s="1133" t="s">
        <v>117</v>
      </c>
      <c r="K18" s="1133"/>
      <c r="L18" s="1133"/>
      <c r="M18" s="1133"/>
      <c r="N18" s="677">
        <f>+SUM(N9:N17)</f>
        <v>804842.925647542</v>
      </c>
      <c r="O18" s="676">
        <f t="shared" ref="O18:Q18" si="15">+SUM(O9:O17)</f>
        <v>793334.03889380489</v>
      </c>
      <c r="P18" s="676">
        <f t="shared" si="15"/>
        <v>839851.89401720301</v>
      </c>
      <c r="Q18" s="676">
        <f t="shared" si="15"/>
        <v>853683.24450927821</v>
      </c>
      <c r="R18" s="677">
        <f>+SUM(R9:R17)</f>
        <v>872693.12245528831</v>
      </c>
      <c r="S18" s="676">
        <f>+SUM(S9:S17)</f>
        <v>865066.18036519911</v>
      </c>
      <c r="T18" s="676"/>
      <c r="U18" s="676"/>
      <c r="V18" s="633"/>
      <c r="W18" s="671"/>
      <c r="X18" s="676">
        <f t="shared" si="7"/>
        <v>71732.141471394221</v>
      </c>
      <c r="Y18" s="927">
        <f t="shared" si="8"/>
        <v>9.0418585305396468E-2</v>
      </c>
      <c r="Z18" s="672"/>
      <c r="AA18" s="634"/>
      <c r="AB18" s="676">
        <f t="shared" si="9"/>
        <v>1598176.9645413468</v>
      </c>
      <c r="AC18" s="676">
        <f t="shared" si="10"/>
        <v>1737759.3028204874</v>
      </c>
      <c r="AD18" s="631"/>
      <c r="AE18" s="671"/>
      <c r="AF18" s="676">
        <f t="shared" si="11"/>
        <v>139582.33827914065</v>
      </c>
      <c r="AG18" s="927">
        <f t="shared" si="12"/>
        <v>8.7338474634565094E-2</v>
      </c>
      <c r="AH18" s="635"/>
      <c r="AJ18" s="610"/>
      <c r="AK18" s="610"/>
      <c r="AL18" s="610"/>
      <c r="AM18" s="610"/>
    </row>
    <row r="19" spans="1:39" s="636" customFormat="1" ht="14.4">
      <c r="A19" s="626"/>
      <c r="B19" s="626"/>
      <c r="C19" s="626"/>
      <c r="D19" s="626"/>
      <c r="E19" s="626"/>
      <c r="F19" s="626"/>
      <c r="G19" s="1152" t="s">
        <v>102</v>
      </c>
      <c r="H19" s="1152"/>
      <c r="I19" s="1152"/>
      <c r="J19" s="1152"/>
      <c r="K19" s="1152"/>
      <c r="L19" s="1152"/>
      <c r="M19" s="1152"/>
      <c r="N19" s="630"/>
      <c r="O19" s="629"/>
      <c r="P19" s="629"/>
      <c r="Q19" s="629"/>
      <c r="R19" s="630"/>
      <c r="S19" s="629"/>
      <c r="T19" s="629"/>
      <c r="U19" s="629"/>
      <c r="V19" s="633"/>
      <c r="W19" s="675"/>
      <c r="X19" s="629"/>
      <c r="Y19" s="902"/>
      <c r="Z19" s="672"/>
      <c r="AA19" s="634"/>
      <c r="AB19" s="629"/>
      <c r="AC19" s="629"/>
      <c r="AD19" s="631"/>
      <c r="AE19" s="675"/>
      <c r="AF19" s="629"/>
      <c r="AG19" s="902"/>
      <c r="AH19" s="635"/>
      <c r="AJ19" s="610"/>
      <c r="AK19" s="610"/>
      <c r="AL19" s="610"/>
      <c r="AM19" s="610"/>
    </row>
    <row r="20" spans="1:39" s="636" customFormat="1" ht="14.4">
      <c r="A20" s="626"/>
      <c r="B20" s="626"/>
      <c r="C20" s="626"/>
      <c r="D20" s="626"/>
      <c r="E20" s="626"/>
      <c r="F20" s="626"/>
      <c r="G20" s="963"/>
      <c r="H20" s="1134" t="s">
        <v>103</v>
      </c>
      <c r="I20" s="1134"/>
      <c r="J20" s="1134"/>
      <c r="K20" s="1134"/>
      <c r="L20" s="1134"/>
      <c r="M20" s="1134"/>
      <c r="N20" s="630">
        <f t="shared" ref="N20:S24" si="16">+SUMIF($H$58:$H$294,$H20,N$58:N$294)*SUMIF($H$58:$H$294,$H20,$G$58:$G$294)</f>
        <v>174861.52676002021</v>
      </c>
      <c r="O20" s="629">
        <f t="shared" si="16"/>
        <v>152493.93637226263</v>
      </c>
      <c r="P20" s="629">
        <f t="shared" si="16"/>
        <v>172151.94511621157</v>
      </c>
      <c r="Q20" s="629">
        <f t="shared" si="16"/>
        <v>166419.61864023446</v>
      </c>
      <c r="R20" s="630">
        <f t="shared" si="16"/>
        <v>171253.95028908396</v>
      </c>
      <c r="S20" s="629">
        <f t="shared" si="16"/>
        <v>147327.69438687334</v>
      </c>
      <c r="T20" s="629"/>
      <c r="U20" s="629"/>
      <c r="V20" s="633"/>
      <c r="W20" s="671"/>
      <c r="X20" s="629">
        <f>+SUMIF($N$4:$U$4,$B$1,$N20:$U20)-SUMIF($N$4:$U$4,$A$1,$N20:$U20)</f>
        <v>-5166.2419853892934</v>
      </c>
      <c r="Y20" s="902">
        <f>IF(OR(ABS(IF(X20&lt;0,-ABS(X20/SUMIF($N$4:$U$4,$A$1,$N20:$U20)),ABS(X20/SUMIF($N$4:$U$4,$A$1,$N20:$U20))))&lt;minvar,ABS(IF(X20&lt;0,-ABS(X20/SUMIF($N$4:$U$4,$A$1,$N20:$U20)),ABS(X20/SUMIF($N$4:$U$4,$A$1,$N20:$U20))))&gt;maxvar)=TRUE,"nm",IF(X20&lt;0,-ABS(X20/SUMIF($N$4:$U$4,$A$1,$N20:$U20)),ABS(X20/SUMIF($N$4:$U$4,$A$1,$N20:$U20))))</f>
        <v>-3.3878343679040801E-2</v>
      </c>
      <c r="Z20" s="672"/>
      <c r="AA20" s="634"/>
      <c r="AB20" s="629">
        <f>+SUMIF($N$56:$Q$56,"Yes",$N20:$Q20)</f>
        <v>327355.46313228284</v>
      </c>
      <c r="AC20" s="629">
        <f>+SUMIF($R$56:$U$56,"Yes",$R20:$U20)</f>
        <v>318581.64467595727</v>
      </c>
      <c r="AD20" s="631"/>
      <c r="AE20" s="671"/>
      <c r="AF20" s="629">
        <f t="shared" ref="AF20:AF24" si="17">+$AC20-$AB20</f>
        <v>-8773.8184563255636</v>
      </c>
      <c r="AG20" s="902">
        <f>IF(OR(ABS(IF(AF20&lt;0,-ABS(AF20/$AB20),ABS(AF20/$AB20)))&lt;minvar,ABS(IF(AF20&lt;0,-ABS(AF20/$AB20),ABS(AF20/$AB20)))&gt;maxvar)=TRUE,"nm",IF(AF20&lt;0,-ABS(AF20/$AB20),ABS(AF20/$AB20)))</f>
        <v>-2.6802114045611954E-2</v>
      </c>
      <c r="AH20" s="635"/>
      <c r="AJ20" s="610"/>
      <c r="AK20" s="610"/>
      <c r="AL20" s="610"/>
      <c r="AM20" s="610"/>
    </row>
    <row r="21" spans="1:39" s="636" customFormat="1" ht="14.4">
      <c r="A21" s="626"/>
      <c r="B21" s="626"/>
      <c r="C21" s="626"/>
      <c r="D21" s="626"/>
      <c r="E21" s="626"/>
      <c r="F21" s="626"/>
      <c r="G21" s="963"/>
      <c r="H21" s="1134" t="s">
        <v>750</v>
      </c>
      <c r="I21" s="1134"/>
      <c r="J21" s="1134"/>
      <c r="K21" s="1134"/>
      <c r="L21" s="1134"/>
      <c r="M21" s="1134"/>
      <c r="N21" s="630">
        <f t="shared" si="16"/>
        <v>-3273.47445253755</v>
      </c>
      <c r="O21" s="629">
        <f t="shared" si="16"/>
        <v>-5894.9472067112201</v>
      </c>
      <c r="P21" s="629">
        <f t="shared" si="16"/>
        <v>-23113.5901253302</v>
      </c>
      <c r="Q21" s="629">
        <f t="shared" si="16"/>
        <v>-5107.2661335046505</v>
      </c>
      <c r="R21" s="630">
        <f t="shared" si="16"/>
        <v>-7377.0713304818701</v>
      </c>
      <c r="S21" s="629">
        <f t="shared" si="16"/>
        <v>-5037.9300177068499</v>
      </c>
      <c r="T21" s="629"/>
      <c r="U21" s="629"/>
      <c r="V21" s="633"/>
      <c r="W21" s="671"/>
      <c r="X21" s="629">
        <f>+SUMIF($N$4:$U$4,$B$1,$N21:$U21)-SUMIF($N$4:$U$4,$A$1,$N21:$U21)</f>
        <v>857.01718900437027</v>
      </c>
      <c r="Y21" s="902">
        <f>IF(OR(ABS(IF(X21&lt;0,-ABS(X21/SUMIF($N$4:$U$4,$A$1,$N21:$U21)),ABS(X21/SUMIF($N$4:$U$4,$A$1,$N21:$U21))))&lt;minvar,ABS(IF(X21&lt;0,-ABS(X21/SUMIF($N$4:$U$4,$A$1,$N21:$U21)),ABS(X21/SUMIF($N$4:$U$4,$A$1,$N21:$U21))))&gt;maxvar)=TRUE,"nm",IF(X21&lt;0,-ABS(X21/SUMIF($N$4:$U$4,$A$1,$N21:$U21)),ABS(X21/SUMIF($N$4:$U$4,$A$1,$N21:$U21))))</f>
        <v>0.14538165634947195</v>
      </c>
      <c r="Z21" s="672"/>
      <c r="AA21" s="634"/>
      <c r="AB21" s="629">
        <f>+SUMIF($N$56:$Q$56,"Yes",$N21:$Q21)</f>
        <v>-9168.4216592487701</v>
      </c>
      <c r="AC21" s="629">
        <f>+SUMIF($R$56:$U$56,"Yes",$R21:$U21)</f>
        <v>-12415.00134818872</v>
      </c>
      <c r="AD21" s="631"/>
      <c r="AE21" s="671"/>
      <c r="AF21" s="629">
        <f t="shared" si="17"/>
        <v>-3246.5796889399498</v>
      </c>
      <c r="AG21" s="902">
        <f>IF(OR(ABS(IF(AF21&lt;0,-ABS(AF21/$AB21),ABS(AF21/$AB21)))&lt;minvar,ABS(IF(AF21&lt;0,-ABS(AF21/$AB21),ABS(AF21/$AB21)))&gt;maxvar)=TRUE,"nm",IF(AF21&lt;0,-ABS(AF21/$AB21),ABS(AF21/$AB21)))</f>
        <v>-0.35410453506628575</v>
      </c>
      <c r="AH21" s="635"/>
      <c r="AJ21" s="610"/>
      <c r="AK21" s="610"/>
      <c r="AL21" s="610"/>
      <c r="AM21" s="610"/>
    </row>
    <row r="22" spans="1:39" s="636" customFormat="1" ht="14.4">
      <c r="A22" s="626"/>
      <c r="B22" s="626"/>
      <c r="C22" s="626"/>
      <c r="D22" s="626"/>
      <c r="E22" s="626"/>
      <c r="F22" s="626"/>
      <c r="G22" s="963"/>
      <c r="H22" s="1134" t="s">
        <v>104</v>
      </c>
      <c r="I22" s="1134"/>
      <c r="J22" s="1134"/>
      <c r="K22" s="1134"/>
      <c r="L22" s="1134"/>
      <c r="M22" s="1134"/>
      <c r="N22" s="630">
        <f t="shared" si="16"/>
        <v>78549.789340624906</v>
      </c>
      <c r="O22" s="629">
        <f t="shared" si="16"/>
        <v>80042.501979026725</v>
      </c>
      <c r="P22" s="629">
        <f t="shared" si="16"/>
        <v>81498.409397386655</v>
      </c>
      <c r="Q22" s="629">
        <f t="shared" si="16"/>
        <v>82812.586776335927</v>
      </c>
      <c r="R22" s="630">
        <f t="shared" si="16"/>
        <v>84259.913227622907</v>
      </c>
      <c r="S22" s="629">
        <f t="shared" si="16"/>
        <v>85127.761220652726</v>
      </c>
      <c r="T22" s="629"/>
      <c r="U22" s="629"/>
      <c r="V22" s="633"/>
      <c r="W22" s="671"/>
      <c r="X22" s="629">
        <f>+SUMIF($N$4:$U$4,$B$1,$N22:$U22)-SUMIF($N$4:$U$4,$A$1,$N22:$U22)</f>
        <v>5085.2592416260013</v>
      </c>
      <c r="Y22" s="902">
        <f>IF(OR(ABS(IF(X22&lt;0,-ABS(X22/SUMIF($N$4:$U$4,$A$1,$N22:$U22)),ABS(X22/SUMIF($N$4:$U$4,$A$1,$N22:$U22))))&lt;minvar,ABS(IF(X22&lt;0,-ABS(X22/SUMIF($N$4:$U$4,$A$1,$N22:$U22)),ABS(X22/SUMIF($N$4:$U$4,$A$1,$N22:$U22))))&gt;maxvar)=TRUE,"nm",IF(X22&lt;0,-ABS(X22/SUMIF($N$4:$U$4,$A$1,$N22:$U22)),ABS(X22/SUMIF($N$4:$U$4,$A$1,$N22:$U22))))</f>
        <v>6.3531987580279226E-2</v>
      </c>
      <c r="Z22" s="672"/>
      <c r="AA22" s="634"/>
      <c r="AB22" s="629">
        <f>+SUMIF($N$56:$Q$56,"Yes",$N22:$Q22)</f>
        <v>158592.29131965165</v>
      </c>
      <c r="AC22" s="629">
        <f>+SUMIF($R$56:$U$56,"Yes",$R22:$U22)</f>
        <v>169387.67444827565</v>
      </c>
      <c r="AD22" s="631"/>
      <c r="AE22" s="671"/>
      <c r="AF22" s="629">
        <f t="shared" si="17"/>
        <v>10795.383128624002</v>
      </c>
      <c r="AG22" s="902">
        <f>IF(OR(ABS(IF(AF22&lt;0,-ABS(AF22/$AB22),ABS(AF22/$AB22)))&lt;minvar,ABS(IF(AF22&lt;0,-ABS(AF22/$AB22),ABS(AF22/$AB22)))&gt;maxvar)=TRUE,"nm",IF(AF22&lt;0,-ABS(AF22/$AB22),ABS(AF22/$AB22)))</f>
        <v>6.8070036940605788E-2</v>
      </c>
      <c r="AH22" s="635"/>
      <c r="AJ22" s="610"/>
      <c r="AK22" s="610"/>
      <c r="AL22" s="610"/>
      <c r="AM22" s="610"/>
    </row>
    <row r="23" spans="1:39" s="636" customFormat="1" ht="14.4">
      <c r="A23" s="626"/>
      <c r="B23" s="626"/>
      <c r="C23" s="626"/>
      <c r="D23" s="626"/>
      <c r="E23" s="626"/>
      <c r="F23" s="626"/>
      <c r="G23" s="963"/>
      <c r="H23" s="1134" t="s">
        <v>105</v>
      </c>
      <c r="I23" s="1134"/>
      <c r="J23" s="1134"/>
      <c r="K23" s="1134"/>
      <c r="L23" s="1134"/>
      <c r="M23" s="1134"/>
      <c r="N23" s="630">
        <f t="shared" si="16"/>
        <v>6124.3443542581681</v>
      </c>
      <c r="O23" s="629">
        <f t="shared" si="16"/>
        <v>5750.7592203275526</v>
      </c>
      <c r="P23" s="629">
        <f t="shared" si="16"/>
        <v>5498.9310822240795</v>
      </c>
      <c r="Q23" s="629">
        <f t="shared" si="16"/>
        <v>5620.6002961892846</v>
      </c>
      <c r="R23" s="630">
        <f t="shared" si="16"/>
        <v>5618.0889327629393</v>
      </c>
      <c r="S23" s="629">
        <f t="shared" si="16"/>
        <v>5778.067037003505</v>
      </c>
      <c r="T23" s="629"/>
      <c r="U23" s="629"/>
      <c r="V23" s="633"/>
      <c r="W23" s="671"/>
      <c r="X23" s="629">
        <f>+SUMIF($N$4:$U$4,$B$1,$N23:$U23)-SUMIF($N$4:$U$4,$A$1,$N23:$U23)</f>
        <v>27.307816675952381</v>
      </c>
      <c r="Y23" s="902">
        <f>IF(OR(ABS(IF(X23&lt;0,-ABS(X23/SUMIF($N$4:$U$4,$A$1,$N23:$U23)),ABS(X23/SUMIF($N$4:$U$4,$A$1,$N23:$U23))))&lt;minvar,ABS(IF(X23&lt;0,-ABS(X23/SUMIF($N$4:$U$4,$A$1,$N23:$U23)),ABS(X23/SUMIF($N$4:$U$4,$A$1,$N23:$U23))))&gt;maxvar)=TRUE,"nm",IF(X23&lt;0,-ABS(X23/SUMIF($N$4:$U$4,$A$1,$N23:$U23)),ABS(X23/SUMIF($N$4:$U$4,$A$1,$N23:$U23))))</f>
        <v>4.7485585171825329E-3</v>
      </c>
      <c r="Z23" s="672"/>
      <c r="AA23" s="634"/>
      <c r="AB23" s="629">
        <f>+SUMIF($N$56:$Q$56,"Yes",$N23:$Q23)</f>
        <v>11875.103574585721</v>
      </c>
      <c r="AC23" s="629">
        <f>+SUMIF($R$56:$U$56,"Yes",$R23:$U23)</f>
        <v>11396.155969766445</v>
      </c>
      <c r="AD23" s="631"/>
      <c r="AE23" s="671"/>
      <c r="AF23" s="629">
        <f t="shared" si="17"/>
        <v>-478.94760481927551</v>
      </c>
      <c r="AG23" s="902">
        <f>IF(OR(ABS(IF(AF23&lt;0,-ABS(AF23/$AB23),ABS(AF23/$AB23)))&lt;minvar,ABS(IF(AF23&lt;0,-ABS(AF23/$AB23),ABS(AF23/$AB23)))&gt;maxvar)=TRUE,"nm",IF(AF23&lt;0,-ABS(AF23/$AB23),ABS(AF23/$AB23)))</f>
        <v>-4.0332078100294315E-2</v>
      </c>
      <c r="AH23" s="635"/>
      <c r="AJ23" s="610"/>
      <c r="AK23" s="610"/>
      <c r="AL23" s="610"/>
      <c r="AM23" s="610"/>
    </row>
    <row r="24" spans="1:39" s="636" customFormat="1" ht="14.4">
      <c r="A24" s="626"/>
      <c r="B24" s="626"/>
      <c r="C24" s="626"/>
      <c r="D24" s="626"/>
      <c r="E24" s="626"/>
      <c r="F24" s="626"/>
      <c r="G24" s="963"/>
      <c r="H24" s="1134" t="s">
        <v>106</v>
      </c>
      <c r="I24" s="1134"/>
      <c r="J24" s="1134"/>
      <c r="K24" s="1134"/>
      <c r="L24" s="1134"/>
      <c r="M24" s="1134"/>
      <c r="N24" s="630">
        <f t="shared" si="16"/>
        <v>64805.313003525123</v>
      </c>
      <c r="O24" s="629">
        <f t="shared" si="16"/>
        <v>64362.298569533828</v>
      </c>
      <c r="P24" s="629">
        <f t="shared" si="16"/>
        <v>64131.366915424936</v>
      </c>
      <c r="Q24" s="629">
        <f t="shared" si="16"/>
        <v>70167.688644185459</v>
      </c>
      <c r="R24" s="630">
        <f t="shared" si="16"/>
        <v>66567.365446860684</v>
      </c>
      <c r="S24" s="629">
        <f t="shared" si="16"/>
        <v>71159.110342559143</v>
      </c>
      <c r="T24" s="629"/>
      <c r="U24" s="629"/>
      <c r="V24" s="633"/>
      <c r="W24" s="671"/>
      <c r="X24" s="629">
        <f>+SUMIF($N$4:$U$4,$B$1,$N24:$U24)-SUMIF($N$4:$U$4,$A$1,$N24:$U24)</f>
        <v>6796.8117730253143</v>
      </c>
      <c r="Y24" s="902">
        <f>IF(OR(ABS(IF(X24&lt;0,-ABS(X24/SUMIF($N$4:$U$4,$A$1,$N24:$U24)),ABS(X24/SUMIF($N$4:$U$4,$A$1,$N24:$U24))))&lt;minvar,ABS(IF(X24&lt;0,-ABS(X24/SUMIF($N$4:$U$4,$A$1,$N24:$U24)),ABS(X24/SUMIF($N$4:$U$4,$A$1,$N24:$U24))))&gt;maxvar)=TRUE,"nm",IF(X24&lt;0,-ABS(X24/SUMIF($N$4:$U$4,$A$1,$N24:$U24)),ABS(X24/SUMIF($N$4:$U$4,$A$1,$N24:$U24))))</f>
        <v>0.10560237785296585</v>
      </c>
      <c r="Z24" s="672"/>
      <c r="AA24" s="634"/>
      <c r="AB24" s="629">
        <f>+SUMIF($N$56:$Q$56,"Yes",$N24:$Q24)</f>
        <v>129167.61157305895</v>
      </c>
      <c r="AC24" s="629">
        <f>+SUMIF($R$56:$U$56,"Yes",$R24:$U24)</f>
        <v>137726.47578941984</v>
      </c>
      <c r="AD24" s="631"/>
      <c r="AE24" s="671"/>
      <c r="AF24" s="629">
        <f t="shared" si="17"/>
        <v>8558.8642163608893</v>
      </c>
      <c r="AG24" s="902">
        <f>IF(OR(ABS(IF(AF24&lt;0,-ABS(AF24/$AB24),ABS(AF24/$AB24)))&lt;minvar,ABS(IF(AF24&lt;0,-ABS(AF24/$AB24),ABS(AF24/$AB24)))&gt;maxvar)=TRUE,"nm",IF(AF24&lt;0,-ABS(AF24/$AB24),ABS(AF24/$AB24)))</f>
        <v>6.6261689847225205E-2</v>
      </c>
      <c r="AH24" s="635"/>
      <c r="AJ24" s="610"/>
      <c r="AK24" s="610"/>
      <c r="AL24" s="610"/>
      <c r="AM24" s="610"/>
    </row>
    <row r="25" spans="1:39" s="636" customFormat="1" ht="15" customHeight="1">
      <c r="A25" s="626"/>
      <c r="B25" s="626"/>
      <c r="C25" s="626"/>
      <c r="D25" s="626"/>
      <c r="E25" s="626"/>
      <c r="F25" s="626"/>
      <c r="G25" s="963"/>
      <c r="H25" s="1134" t="s">
        <v>107</v>
      </c>
      <c r="I25" s="1134"/>
      <c r="J25" s="1134"/>
      <c r="K25" s="1134"/>
      <c r="L25" s="1134"/>
      <c r="M25" s="1134"/>
      <c r="N25" s="630"/>
      <c r="O25" s="629"/>
      <c r="P25" s="629"/>
      <c r="Q25" s="629"/>
      <c r="R25" s="630"/>
      <c r="S25" s="629"/>
      <c r="T25" s="629"/>
      <c r="U25" s="629"/>
      <c r="V25" s="633"/>
      <c r="W25" s="675"/>
      <c r="X25" s="629"/>
      <c r="Y25" s="902"/>
      <c r="Z25" s="672"/>
      <c r="AA25" s="634"/>
      <c r="AB25" s="629"/>
      <c r="AC25" s="629"/>
      <c r="AD25" s="631"/>
      <c r="AE25" s="675"/>
      <c r="AF25" s="629"/>
      <c r="AG25" s="902"/>
      <c r="AH25" s="635"/>
      <c r="AJ25" s="610"/>
      <c r="AK25" s="610"/>
      <c r="AL25" s="610"/>
      <c r="AM25" s="610"/>
    </row>
    <row r="26" spans="1:39" s="636" customFormat="1" ht="15" customHeight="1">
      <c r="A26" s="626"/>
      <c r="B26" s="626"/>
      <c r="C26" s="626"/>
      <c r="D26" s="626"/>
      <c r="E26" s="626"/>
      <c r="F26" s="626"/>
      <c r="G26" s="963"/>
      <c r="H26" s="964"/>
      <c r="I26" s="1137" t="s">
        <v>779</v>
      </c>
      <c r="J26" s="1134"/>
      <c r="K26" s="1134"/>
      <c r="L26" s="1134"/>
      <c r="M26" s="1134"/>
      <c r="N26" s="630">
        <f t="shared" ref="N26:S28" si="18">+SUMIF($H$95:$H$294,$I26,N$95:N$294)*SUMIF($H$95:$H$294,$I26,$G$95:$G$294)</f>
        <v>77266.531494286857</v>
      </c>
      <c r="O26" s="629">
        <f t="shared" si="18"/>
        <v>82935.441205120776</v>
      </c>
      <c r="P26" s="629">
        <f t="shared" si="18"/>
        <v>82866.96761402837</v>
      </c>
      <c r="Q26" s="629">
        <f t="shared" si="18"/>
        <v>89561.303025591013</v>
      </c>
      <c r="R26" s="630">
        <f t="shared" si="18"/>
        <v>95167.699535514621</v>
      </c>
      <c r="S26" s="629">
        <f t="shared" si="18"/>
        <v>95815.970654571458</v>
      </c>
      <c r="T26" s="629"/>
      <c r="U26" s="629"/>
      <c r="V26" s="633"/>
      <c r="W26" s="671"/>
      <c r="X26" s="629">
        <f t="shared" ref="X26:X34" si="19">+SUMIF($N$4:$U$4,$B$1,$N26:$U26)-SUMIF($N$4:$U$4,$A$1,$N26:$U26)</f>
        <v>12880.529449450682</v>
      </c>
      <c r="Y26" s="902">
        <f t="shared" ref="Y26:Y30" si="20">IF(OR(ABS(IF(X26&lt;0,-ABS(X26/SUMIF($N$4:$U$4,$A$1,$N26:$U26)),ABS(X26/SUMIF($N$4:$U$4,$A$1,$N26:$U26))))&lt;minvar,ABS(IF(X26&lt;0,-ABS(X26/SUMIF($N$4:$U$4,$A$1,$N26:$U26)),ABS(X26/SUMIF($N$4:$U$4,$A$1,$N26:$U26))))&gt;maxvar)=TRUE,"nm",IF(X26&lt;0,-ABS(X26/SUMIF($N$4:$U$4,$A$1,$N26:$U26)),ABS(X26/SUMIF($N$4:$U$4,$A$1,$N26:$U26))))</f>
        <v>0.15530790289755383</v>
      </c>
      <c r="Z26" s="672"/>
      <c r="AA26" s="634"/>
      <c r="AB26" s="629">
        <f t="shared" ref="AB26:AB34" si="21">+SUMIF($N$56:$Q$56,"Yes",$N26:$Q26)</f>
        <v>160201.97269940763</v>
      </c>
      <c r="AC26" s="629">
        <f t="shared" ref="AC26:AC34" si="22">+SUMIF($R$56:$U$56,"Yes",$R26:$U26)</f>
        <v>190983.67019008606</v>
      </c>
      <c r="AD26" s="631"/>
      <c r="AE26" s="671"/>
      <c r="AF26" s="629">
        <f t="shared" ref="AF26:AF34" si="23">+$AC26-$AB26</f>
        <v>30781.697490678431</v>
      </c>
      <c r="AG26" s="902">
        <f t="shared" ref="AG26:AG34" si="24">IF(OR(ABS(IF(AF26&lt;0,-ABS(AF26/$AB26),ABS(AF26/$AB26)))&lt;minvar,ABS(IF(AF26&lt;0,-ABS(AF26/$AB26),ABS(AF26/$AB26)))&gt;maxvar)=TRUE,"nm",IF(AF26&lt;0,-ABS(AF26/$AB26),ABS(AF26/$AB26)))</f>
        <v>0.19214306148673443</v>
      </c>
      <c r="AH26" s="635"/>
      <c r="AJ26" s="610"/>
      <c r="AK26" s="610"/>
      <c r="AL26" s="610"/>
      <c r="AM26" s="610"/>
    </row>
    <row r="27" spans="1:39" s="636" customFormat="1" ht="15" customHeight="1">
      <c r="A27" s="626"/>
      <c r="B27" s="626"/>
      <c r="C27" s="626"/>
      <c r="D27" s="626"/>
      <c r="E27" s="626"/>
      <c r="F27" s="626"/>
      <c r="G27" s="963"/>
      <c r="H27" s="964"/>
      <c r="I27" s="1137" t="s">
        <v>780</v>
      </c>
      <c r="J27" s="1134"/>
      <c r="K27" s="1134"/>
      <c r="L27" s="1134"/>
      <c r="M27" s="1134"/>
      <c r="N27" s="630">
        <f t="shared" si="18"/>
        <v>76246.475838191138</v>
      </c>
      <c r="O27" s="629">
        <f t="shared" si="18"/>
        <v>78009.898153455579</v>
      </c>
      <c r="P27" s="629">
        <f t="shared" si="18"/>
        <v>87336.79984091912</v>
      </c>
      <c r="Q27" s="629">
        <f t="shared" si="18"/>
        <v>93247.031850916566</v>
      </c>
      <c r="R27" s="630">
        <f t="shared" si="18"/>
        <v>95359.994288721195</v>
      </c>
      <c r="S27" s="629">
        <f t="shared" si="18"/>
        <v>100677.2724867955</v>
      </c>
      <c r="T27" s="629"/>
      <c r="U27" s="629"/>
      <c r="V27" s="633"/>
      <c r="W27" s="671"/>
      <c r="X27" s="629">
        <f t="shared" si="19"/>
        <v>22667.374333339918</v>
      </c>
      <c r="Y27" s="902">
        <f t="shared" si="20"/>
        <v>0.29057049002615354</v>
      </c>
      <c r="Z27" s="672"/>
      <c r="AA27" s="634"/>
      <c r="AB27" s="629">
        <f t="shared" si="21"/>
        <v>154256.37399164672</v>
      </c>
      <c r="AC27" s="629">
        <f t="shared" si="22"/>
        <v>196037.26677551668</v>
      </c>
      <c r="AD27" s="631"/>
      <c r="AE27" s="671"/>
      <c r="AF27" s="629">
        <f t="shared" si="23"/>
        <v>41780.89278386996</v>
      </c>
      <c r="AG27" s="902">
        <f t="shared" si="24"/>
        <v>0.27085359069915954</v>
      </c>
      <c r="AH27" s="635"/>
      <c r="AJ27" s="610"/>
      <c r="AK27" s="610"/>
      <c r="AL27" s="610"/>
      <c r="AM27" s="610"/>
    </row>
    <row r="28" spans="1:39" s="636" customFormat="1" ht="15" customHeight="1">
      <c r="A28" s="626"/>
      <c r="B28" s="626"/>
      <c r="C28" s="626"/>
      <c r="D28" s="626"/>
      <c r="E28" s="626"/>
      <c r="F28" s="626"/>
      <c r="G28" s="963"/>
      <c r="H28" s="964"/>
      <c r="I28" s="1134" t="s">
        <v>108</v>
      </c>
      <c r="J28" s="1134"/>
      <c r="K28" s="1134"/>
      <c r="L28" s="1134"/>
      <c r="M28" s="1134"/>
      <c r="N28" s="630">
        <f t="shared" si="18"/>
        <v>4605.062338484252</v>
      </c>
      <c r="O28" s="629">
        <f t="shared" si="18"/>
        <v>5345.7609297087956</v>
      </c>
      <c r="P28" s="629">
        <f t="shared" si="18"/>
        <v>4483.9523753304311</v>
      </c>
      <c r="Q28" s="629">
        <f t="shared" si="18"/>
        <v>5015.0948302248753</v>
      </c>
      <c r="R28" s="630">
        <f t="shared" si="18"/>
        <v>4682.4690325908277</v>
      </c>
      <c r="S28" s="629">
        <f t="shared" si="18"/>
        <v>5430.7511267809004</v>
      </c>
      <c r="T28" s="629"/>
      <c r="U28" s="629"/>
      <c r="V28" s="633"/>
      <c r="W28" s="671"/>
      <c r="X28" s="629">
        <f t="shared" si="19"/>
        <v>84.99019707210482</v>
      </c>
      <c r="Y28" s="902">
        <f t="shared" si="20"/>
        <v>1.5898615405671456E-2</v>
      </c>
      <c r="Z28" s="672"/>
      <c r="AA28" s="634"/>
      <c r="AB28" s="629">
        <f t="shared" si="21"/>
        <v>9950.8232681930476</v>
      </c>
      <c r="AC28" s="629">
        <f t="shared" si="22"/>
        <v>10113.220159371729</v>
      </c>
      <c r="AD28" s="631"/>
      <c r="AE28" s="671"/>
      <c r="AF28" s="629">
        <f t="shared" si="23"/>
        <v>162.39689117868147</v>
      </c>
      <c r="AG28" s="902">
        <f t="shared" si="24"/>
        <v>1.6319945275057712E-2</v>
      </c>
      <c r="AH28" s="635"/>
      <c r="AJ28" s="610"/>
      <c r="AK28" s="610"/>
      <c r="AL28" s="610"/>
      <c r="AM28" s="610"/>
    </row>
    <row r="29" spans="1:39" s="636" customFormat="1" ht="14.4">
      <c r="A29" s="626"/>
      <c r="B29" s="626"/>
      <c r="C29" s="626"/>
      <c r="D29" s="626"/>
      <c r="E29" s="626"/>
      <c r="F29" s="626"/>
      <c r="G29" s="963"/>
      <c r="H29" s="1134" t="s">
        <v>109</v>
      </c>
      <c r="I29" s="1134"/>
      <c r="J29" s="1134"/>
      <c r="K29" s="1134"/>
      <c r="L29" s="1134"/>
      <c r="M29" s="1134"/>
      <c r="N29" s="630">
        <f t="shared" ref="N29:S30" si="25">+SUMIF($H$58:$H$294,$H29,N$58:N$294)*SUMIF($H$58:$H$294,$H29,$G$58:$G$294)</f>
        <v>6004.2563882221975</v>
      </c>
      <c r="O29" s="629">
        <f t="shared" si="25"/>
        <v>6000.2477840515021</v>
      </c>
      <c r="P29" s="629">
        <f t="shared" si="25"/>
        <v>5985.0950601618097</v>
      </c>
      <c r="Q29" s="629">
        <f t="shared" si="25"/>
        <v>5968.3137143923896</v>
      </c>
      <c r="R29" s="630">
        <f t="shared" si="25"/>
        <v>5860.5572296830705</v>
      </c>
      <c r="S29" s="629">
        <f t="shared" si="25"/>
        <v>5832.6161948528934</v>
      </c>
      <c r="T29" s="629"/>
      <c r="U29" s="629"/>
      <c r="V29" s="633"/>
      <c r="W29" s="671"/>
      <c r="X29" s="629">
        <f t="shared" si="19"/>
        <v>-167.63158919860871</v>
      </c>
      <c r="Y29" s="902">
        <f t="shared" si="20"/>
        <v>-2.7937444457572066E-2</v>
      </c>
      <c r="Z29" s="672"/>
      <c r="AA29" s="634"/>
      <c r="AB29" s="629">
        <f t="shared" si="21"/>
        <v>12004.504172273701</v>
      </c>
      <c r="AC29" s="629">
        <f t="shared" si="22"/>
        <v>11693.173424535964</v>
      </c>
      <c r="AD29" s="631"/>
      <c r="AE29" s="671"/>
      <c r="AF29" s="629">
        <f t="shared" si="23"/>
        <v>-311.3307477377366</v>
      </c>
      <c r="AG29" s="902">
        <f t="shared" si="24"/>
        <v>-2.5934494525546848E-2</v>
      </c>
      <c r="AH29" s="635"/>
      <c r="AJ29" s="610"/>
      <c r="AK29" s="610"/>
      <c r="AL29" s="610"/>
      <c r="AM29" s="610"/>
    </row>
    <row r="30" spans="1:39" s="636" customFormat="1" ht="14.4">
      <c r="A30" s="626"/>
      <c r="B30" s="626"/>
      <c r="C30" s="626"/>
      <c r="D30" s="626"/>
      <c r="E30" s="626"/>
      <c r="F30" s="626"/>
      <c r="G30" s="963"/>
      <c r="H30" s="1134" t="s">
        <v>110</v>
      </c>
      <c r="I30" s="1134"/>
      <c r="J30" s="1134"/>
      <c r="K30" s="1134"/>
      <c r="L30" s="1134"/>
      <c r="M30" s="1134"/>
      <c r="N30" s="630">
        <f t="shared" si="25"/>
        <v>98338.253967696699</v>
      </c>
      <c r="O30" s="629">
        <f t="shared" si="25"/>
        <v>89791.644131063455</v>
      </c>
      <c r="P30" s="629">
        <f t="shared" si="25"/>
        <v>87333.342141358502</v>
      </c>
      <c r="Q30" s="629">
        <f t="shared" si="25"/>
        <v>92904.345107986388</v>
      </c>
      <c r="R30" s="630">
        <f t="shared" si="25"/>
        <v>101881.85579727187</v>
      </c>
      <c r="S30" s="629">
        <f t="shared" si="25"/>
        <v>94735.878283376223</v>
      </c>
      <c r="T30" s="629"/>
      <c r="U30" s="629"/>
      <c r="V30" s="633"/>
      <c r="W30" s="671"/>
      <c r="X30" s="629">
        <f t="shared" si="19"/>
        <v>4944.2341523127689</v>
      </c>
      <c r="Y30" s="902">
        <f t="shared" si="20"/>
        <v>5.5063410411507425E-2</v>
      </c>
      <c r="Z30" s="672"/>
      <c r="AA30" s="634"/>
      <c r="AB30" s="629">
        <f t="shared" si="21"/>
        <v>188129.89809876017</v>
      </c>
      <c r="AC30" s="629">
        <f t="shared" si="22"/>
        <v>196617.73408064811</v>
      </c>
      <c r="AD30" s="631"/>
      <c r="AE30" s="671"/>
      <c r="AF30" s="629">
        <f t="shared" si="23"/>
        <v>8487.8359818879399</v>
      </c>
      <c r="AG30" s="902">
        <f t="shared" si="24"/>
        <v>4.5116890338356468E-2</v>
      </c>
      <c r="AH30" s="635"/>
      <c r="AJ30" s="610"/>
      <c r="AK30" s="610"/>
      <c r="AL30" s="610"/>
      <c r="AM30" s="610"/>
    </row>
    <row r="31" spans="1:39" s="636" customFormat="1" ht="14.4">
      <c r="A31" s="626"/>
      <c r="B31" s="626"/>
      <c r="C31" s="626"/>
      <c r="D31" s="626"/>
      <c r="E31" s="626"/>
      <c r="F31" s="626"/>
      <c r="G31" s="963"/>
      <c r="H31" s="989"/>
      <c r="I31" s="989"/>
      <c r="J31" s="1133" t="s">
        <v>118</v>
      </c>
      <c r="K31" s="1133"/>
      <c r="L31" s="1133"/>
      <c r="M31" s="1133"/>
      <c r="N31" s="677">
        <f t="shared" ref="N31:R31" si="26">+SUM(N20:N30)</f>
        <v>583528.0790327721</v>
      </c>
      <c r="O31" s="676">
        <f t="shared" si="26"/>
        <v>558837.54113783967</v>
      </c>
      <c r="P31" s="676">
        <f t="shared" si="26"/>
        <v>568173.21941771533</v>
      </c>
      <c r="Q31" s="676">
        <f t="shared" si="26"/>
        <v>606609.31675255171</v>
      </c>
      <c r="R31" s="677">
        <f t="shared" si="26"/>
        <v>623274.82244963024</v>
      </c>
      <c r="S31" s="676">
        <f t="shared" ref="S31" si="27">+SUM(S20:S30)</f>
        <v>606847.19171575876</v>
      </c>
      <c r="T31" s="676"/>
      <c r="U31" s="676"/>
      <c r="V31" s="633"/>
      <c r="W31" s="629"/>
      <c r="X31" s="676">
        <f t="shared" si="19"/>
        <v>48009.650577919092</v>
      </c>
      <c r="Y31" s="927">
        <f>IF(OR(ABS(IF(X31&lt;0,-ABS(X31/SUMIF($N$4:$U$4,$A$1,$N31:$U31)),ABS(X31/SUMIF($N$4:$U$4,$A$1,$N31:$U31))))&lt;minvar,ABS(IF(X31&lt;0,-ABS(X31/SUMIF($N$4:$U$4,$A$1,$N31:$U31)),ABS(X31/SUMIF($N$4:$U$4,$A$1,$N31:$U31))))&gt;maxvar)=TRUE,"nm",IF(X31&lt;0,-ABS(X31/SUMIF($N$4:$U$4,$A$1,$N31:$U31)),ABS(X31/SUMIF($N$4:$U$4,$A$1,$N31:$U31))))</f>
        <v>8.5909852226762465E-2</v>
      </c>
      <c r="Z31" s="672"/>
      <c r="AA31" s="634"/>
      <c r="AB31" s="676">
        <f t="shared" si="21"/>
        <v>1142365.6201706119</v>
      </c>
      <c r="AC31" s="676">
        <f t="shared" si="22"/>
        <v>1230122.0141653889</v>
      </c>
      <c r="AD31" s="631"/>
      <c r="AE31" s="629"/>
      <c r="AF31" s="676">
        <f t="shared" si="23"/>
        <v>87756.393994776998</v>
      </c>
      <c r="AG31" s="927">
        <f t="shared" si="24"/>
        <v>7.6819883621559448E-2</v>
      </c>
      <c r="AH31" s="635"/>
      <c r="AJ31" s="610"/>
      <c r="AK31" s="610"/>
      <c r="AL31" s="610"/>
      <c r="AM31" s="610"/>
    </row>
    <row r="32" spans="1:39" s="636" customFormat="1" ht="14.4">
      <c r="A32" s="626"/>
      <c r="B32" s="626"/>
      <c r="C32" s="627" t="s">
        <v>707</v>
      </c>
      <c r="D32" s="626"/>
      <c r="E32" s="627" t="s">
        <v>708</v>
      </c>
      <c r="F32" s="626"/>
      <c r="G32" s="990"/>
      <c r="H32" s="1134" t="s">
        <v>113</v>
      </c>
      <c r="I32" s="1134"/>
      <c r="J32" s="1134"/>
      <c r="K32" s="1134"/>
      <c r="L32" s="1134"/>
      <c r="M32" s="1134"/>
      <c r="N32" s="674">
        <f t="shared" ref="N32:R32" si="28">+N18-N31</f>
        <v>221314.84661476989</v>
      </c>
      <c r="O32" s="673">
        <f t="shared" si="28"/>
        <v>234496.49775596522</v>
      </c>
      <c r="P32" s="673">
        <f t="shared" si="28"/>
        <v>271678.67459948768</v>
      </c>
      <c r="Q32" s="673">
        <f t="shared" si="28"/>
        <v>247073.92775672651</v>
      </c>
      <c r="R32" s="674">
        <f t="shared" si="28"/>
        <v>249418.30000565806</v>
      </c>
      <c r="S32" s="673">
        <f t="shared" ref="S32" si="29">+S18-S31</f>
        <v>258218.98864944035</v>
      </c>
      <c r="T32" s="673"/>
      <c r="U32" s="673"/>
      <c r="V32" s="633"/>
      <c r="W32" s="629"/>
      <c r="X32" s="673">
        <f t="shared" si="19"/>
        <v>23722.490893475129</v>
      </c>
      <c r="Y32" s="902">
        <f>IF(OR(ABS(IF(X32&lt;0,-ABS(X32/SUMIF($N$4:$U$4,$A$1,$N32:$U32)),ABS(X32/SUMIF($N$4:$U$4,$A$1,$N32:$U32))))&lt;minvar,ABS(IF(X32&lt;0,-ABS(X32/SUMIF($N$4:$U$4,$A$1,$N32:$U32)),ABS(X32/SUMIF($N$4:$U$4,$A$1,$N32:$U32))))&gt;maxvar)=TRUE,"nm",IF(X32&lt;0,-ABS(X32/SUMIF($N$4:$U$4,$A$1,$N32:$U32)),ABS(X32/SUMIF($N$4:$U$4,$A$1,$N32:$U32))))</f>
        <v>0.10116351894586735</v>
      </c>
      <c r="Z32" s="672"/>
      <c r="AA32" s="634"/>
      <c r="AB32" s="673">
        <f t="shared" si="21"/>
        <v>455811.34437073511</v>
      </c>
      <c r="AC32" s="673">
        <f t="shared" si="22"/>
        <v>507637.28865509841</v>
      </c>
      <c r="AD32" s="631"/>
      <c r="AE32" s="629"/>
      <c r="AF32" s="673">
        <f t="shared" si="23"/>
        <v>51825.944284363301</v>
      </c>
      <c r="AG32" s="902">
        <f t="shared" si="24"/>
        <v>0.11370042655676108</v>
      </c>
      <c r="AH32" s="635"/>
      <c r="AJ32" s="610"/>
      <c r="AK32" s="610"/>
      <c r="AL32" s="610"/>
      <c r="AM32" s="610"/>
    </row>
    <row r="33" spans="1:75" s="636" customFormat="1" ht="14.4">
      <c r="A33" s="626"/>
      <c r="B33" s="626"/>
      <c r="C33" s="678" t="s">
        <v>919</v>
      </c>
      <c r="D33" s="626"/>
      <c r="E33" s="688">
        <v>0.24229205509745944</v>
      </c>
      <c r="F33" s="626"/>
      <c r="G33" s="963"/>
      <c r="H33" s="964"/>
      <c r="I33" s="1134" t="s">
        <v>13</v>
      </c>
      <c r="J33" s="1134"/>
      <c r="K33" s="1134"/>
      <c r="L33" s="1134"/>
      <c r="M33" s="1134"/>
      <c r="N33" s="679">
        <f>IF(AND(N$4=$B$1,$C$33="Yes"),N$32*$E$33,SUMIF($H$58:$H$294,$I33,N$58:N$294)*SUMIF($H$58:$H$294,$I33,$G$58:$G$294))</f>
        <v>52263.896209236285</v>
      </c>
      <c r="O33" s="632">
        <f t="shared" ref="O33:S33" si="30">IF(AND(O$4=$B$1,$C$33="Yes"),O$32*$E$33,SUMIF($H$58:$H$294,$I33,O$58:O$294)*SUMIF($H$58:$H$294,$I33,$G$58:$G$294))</f>
        <v>56152.9393648634</v>
      </c>
      <c r="P33" s="632">
        <f t="shared" si="30"/>
        <v>64885.933220324499</v>
      </c>
      <c r="Q33" s="632">
        <f t="shared" si="30"/>
        <v>50027.307931742078</v>
      </c>
      <c r="R33" s="679">
        <f t="shared" si="30"/>
        <v>59322.279832669898</v>
      </c>
      <c r="S33" s="632">
        <f t="shared" si="30"/>
        <v>55940.691892775649</v>
      </c>
      <c r="T33" s="632"/>
      <c r="U33" s="632"/>
      <c r="V33" s="633"/>
      <c r="W33" s="629"/>
      <c r="X33" s="629">
        <f t="shared" si="19"/>
        <v>-212.24747208775079</v>
      </c>
      <c r="Y33" s="902">
        <f>IF(OR(ABS(IF(X33&lt;0,-ABS(X33/SUMIF($N$4:$U$4,$A$1,$N33:$U33)),ABS(X33/SUMIF($N$4:$U$4,$A$1,$N33:$U33))))&lt;minvar,ABS(IF(X33&lt;0,-ABS(X33/SUMIF($N$4:$U$4,$A$1,$N33:$U33)),ABS(X33/SUMIF($N$4:$U$4,$A$1,$N33:$U33))))&gt;maxvar)=TRUE,"nm",IF(X33&lt;0,-ABS(X33/SUMIF($N$4:$U$4,$A$1,$N33:$U33)),ABS(X33/SUMIF($N$4:$U$4,$A$1,$N33:$U33))))</f>
        <v>-3.7798105404355819E-3</v>
      </c>
      <c r="Z33" s="672"/>
      <c r="AA33" s="634"/>
      <c r="AB33" s="629">
        <f t="shared" si="21"/>
        <v>108416.83557409968</v>
      </c>
      <c r="AC33" s="629">
        <f t="shared" si="22"/>
        <v>115262.97172544555</v>
      </c>
      <c r="AD33" s="631"/>
      <c r="AE33" s="629"/>
      <c r="AF33" s="629">
        <f t="shared" si="23"/>
        <v>6846.1361513458687</v>
      </c>
      <c r="AG33" s="902">
        <f t="shared" si="24"/>
        <v>6.3146430303868614E-2</v>
      </c>
      <c r="AH33" s="635"/>
      <c r="AJ33" s="610"/>
      <c r="AK33" s="610"/>
      <c r="AL33" s="610"/>
      <c r="AM33" s="610"/>
    </row>
    <row r="34" spans="1:75" s="636" customFormat="1" ht="15" customHeight="1">
      <c r="A34" s="626"/>
      <c r="B34" s="626"/>
      <c r="C34" s="626"/>
      <c r="D34" s="626"/>
      <c r="E34" s="626"/>
      <c r="F34" s="626"/>
      <c r="G34" s="991"/>
      <c r="H34" s="1133" t="s">
        <v>533</v>
      </c>
      <c r="I34" s="1133"/>
      <c r="J34" s="1133"/>
      <c r="K34" s="1133"/>
      <c r="L34" s="1133"/>
      <c r="M34" s="1154"/>
      <c r="N34" s="630">
        <f t="shared" ref="N34:Q34" si="31">+N32-N33</f>
        <v>169050.9504055336</v>
      </c>
      <c r="O34" s="629">
        <f t="shared" si="31"/>
        <v>178343.55839110183</v>
      </c>
      <c r="P34" s="629">
        <f t="shared" si="31"/>
        <v>206792.74137916317</v>
      </c>
      <c r="Q34" s="629">
        <f t="shared" si="31"/>
        <v>197046.61982498443</v>
      </c>
      <c r="R34" s="630">
        <f t="shared" ref="R34:S34" si="32">+R32-R33</f>
        <v>190096.02017298818</v>
      </c>
      <c r="S34" s="629">
        <f t="shared" si="32"/>
        <v>202278.2967566647</v>
      </c>
      <c r="T34" s="673"/>
      <c r="U34" s="673"/>
      <c r="V34" s="633"/>
      <c r="W34" s="629"/>
      <c r="X34" s="673">
        <f t="shared" si="19"/>
        <v>23934.738365562866</v>
      </c>
      <c r="Y34" s="904">
        <f>IF(OR(ABS(IF(X34&lt;0,-ABS(X34/SUMIF($N$4:$U$4,$A$1,$N34:$U34)),ABS(X34/SUMIF($N$4:$U$4,$A$1,$N34:$U34))))&lt;minvar,ABS(IF(X34&lt;0,-ABS(X34/SUMIF($N$4:$U$4,$A$1,$N34:$U34)),ABS(X34/SUMIF($N$4:$U$4,$A$1,$N34:$U34))))&gt;maxvar)=TRUE,"nm",IF(X34&lt;0,-ABS(X34/SUMIF($N$4:$U$4,$A$1,$N34:$U34)),ABS(X34/SUMIF($N$4:$U$4,$A$1,$N34:$U34))))</f>
        <v>0.13420579123511001</v>
      </c>
      <c r="Z34" s="672"/>
      <c r="AA34" s="634"/>
      <c r="AB34" s="673">
        <f t="shared" si="21"/>
        <v>347394.50879663543</v>
      </c>
      <c r="AC34" s="673">
        <f t="shared" si="22"/>
        <v>392374.31692965288</v>
      </c>
      <c r="AD34" s="631"/>
      <c r="AE34" s="629"/>
      <c r="AF34" s="673">
        <f t="shared" si="23"/>
        <v>44979.808133017446</v>
      </c>
      <c r="AG34" s="904">
        <f t="shared" si="24"/>
        <v>0.12947760253559046</v>
      </c>
      <c r="AH34" s="635"/>
      <c r="AJ34" s="610"/>
      <c r="AK34" s="610"/>
      <c r="AL34" s="610"/>
      <c r="AM34" s="610"/>
    </row>
    <row r="35" spans="1:75" ht="14.4">
      <c r="G35" s="990"/>
      <c r="H35" s="985"/>
      <c r="I35" s="985"/>
      <c r="J35" s="985"/>
      <c r="K35" s="985"/>
      <c r="L35" s="992"/>
      <c r="M35" s="985"/>
      <c r="N35" s="322"/>
      <c r="O35" s="321"/>
      <c r="P35" s="321"/>
      <c r="Q35" s="321"/>
      <c r="R35" s="322"/>
      <c r="S35" s="321"/>
      <c r="T35" s="321"/>
      <c r="U35" s="321"/>
      <c r="V35" s="261"/>
      <c r="W35" s="349"/>
      <c r="X35" s="321"/>
      <c r="Y35" s="902"/>
      <c r="Z35" s="338"/>
      <c r="AA35" s="257"/>
      <c r="AB35" s="323"/>
      <c r="AC35" s="323"/>
      <c r="AD35" s="266"/>
      <c r="AE35" s="349"/>
      <c r="AF35" s="323"/>
      <c r="AG35" s="902"/>
      <c r="AH35"/>
    </row>
    <row r="36" spans="1:75" s="610" customFormat="1" ht="14.4">
      <c r="A36" s="600"/>
      <c r="B36" s="600"/>
      <c r="C36" s="600"/>
      <c r="D36" s="600"/>
      <c r="E36" s="600"/>
      <c r="F36" s="600"/>
      <c r="G36" s="1151" t="s">
        <v>908</v>
      </c>
      <c r="H36" s="1151"/>
      <c r="I36" s="1151"/>
      <c r="J36" s="1151"/>
      <c r="K36" s="1151"/>
      <c r="L36" s="1151"/>
      <c r="M36" s="1153"/>
      <c r="N36" s="602"/>
      <c r="O36" s="601"/>
      <c r="P36" s="601"/>
      <c r="Q36" s="601"/>
      <c r="R36" s="602"/>
      <c r="S36" s="601"/>
      <c r="T36" s="601"/>
      <c r="U36" s="601"/>
      <c r="V36" s="604"/>
      <c r="W36" s="601"/>
      <c r="X36" s="601"/>
      <c r="Y36" s="902"/>
      <c r="Z36" s="614"/>
      <c r="AA36" s="605"/>
      <c r="AB36" s="601"/>
      <c r="AC36" s="601"/>
      <c r="AD36" s="603"/>
      <c r="AE36" s="601"/>
      <c r="AF36" s="601"/>
      <c r="AG36" s="902"/>
      <c r="AH36" s="609"/>
    </row>
    <row r="37" spans="1:75" s="610" customFormat="1" ht="14.4">
      <c r="A37" s="600"/>
      <c r="B37" s="600"/>
      <c r="C37" s="600"/>
      <c r="D37" s="600"/>
      <c r="E37" s="600"/>
      <c r="F37" s="600"/>
      <c r="G37" s="1134" t="s">
        <v>557</v>
      </c>
      <c r="H37" s="1134"/>
      <c r="I37" s="1134"/>
      <c r="J37" s="1134"/>
      <c r="K37" s="1134"/>
      <c r="L37" s="1134"/>
      <c r="M37" s="1134"/>
      <c r="N37" s="602">
        <f t="shared" ref="N37:S39" si="33">+SUMIF($H$58:$H$294,$G37,N$58:N$294)*SUMIF($H$58:$H$294,$G37,$G$58:$G$294)</f>
        <v>146785.26878898067</v>
      </c>
      <c r="O37" s="601">
        <f t="shared" si="33"/>
        <v>155012.43699340709</v>
      </c>
      <c r="P37" s="601">
        <f t="shared" si="33"/>
        <v>172684.28050388626</v>
      </c>
      <c r="Q37" s="601">
        <f t="shared" si="33"/>
        <v>146578.49960695204</v>
      </c>
      <c r="R37" s="602">
        <f t="shared" si="33"/>
        <v>154859.10336638498</v>
      </c>
      <c r="S37" s="601">
        <f t="shared" si="33"/>
        <v>148480.41131150778</v>
      </c>
      <c r="T37" s="601"/>
      <c r="U37" s="601"/>
      <c r="V37" s="604"/>
      <c r="W37" s="601"/>
      <c r="X37" s="601">
        <f>+SUMIF($N$4:$U$4,$B$1,$N37:$U37)-SUMIF($N$4:$U$4,$A$1,$N37:$U37)</f>
        <v>-6532.0256818993075</v>
      </c>
      <c r="Y37" s="902">
        <f>IF(OR(ABS(IF(X37&lt;0,-ABS(X37/SUMIF($N$4:$U$4,$A$1,$N37:$U37)),ABS(X37/SUMIF($N$4:$U$4,$A$1,$N37:$U37))))&lt;minvar,ABS(IF(X37&lt;0,-ABS(X37/SUMIF($N$4:$U$4,$A$1,$N37:$U37)),ABS(X37/SUMIF($N$4:$U$4,$A$1,$N37:$U37))))&gt;maxvar)=TRUE,"nm",IF(X37&lt;0,-ABS(X37/SUMIF($N$4:$U$4,$A$1,$N37:$U37)),ABS(X37/SUMIF($N$4:$U$4,$A$1,$N37:$U37))))</f>
        <v>-4.2138720018814517E-2</v>
      </c>
      <c r="Z37" s="614"/>
      <c r="AA37" s="605"/>
      <c r="AB37" s="601">
        <f>+SUMIF($N$56:$Q$56,"Yes",$N37:$Q37)</f>
        <v>301797.70578238775</v>
      </c>
      <c r="AC37" s="601">
        <f>+SUMIF($R$56:$U$56,"Yes",$R37:$U37)</f>
        <v>303339.51467789279</v>
      </c>
      <c r="AD37" s="603"/>
      <c r="AE37" s="601"/>
      <c r="AF37" s="601">
        <f t="shared" ref="AF37:AF40" si="34">+$AC37-$AB37</f>
        <v>1541.8088955050334</v>
      </c>
      <c r="AG37" s="902">
        <f>IF(OR(ABS(IF(AF37&lt;0,-ABS(AF37/$AB37),ABS(AF37/$AB37)))&lt;minvar,ABS(IF(AF37&lt;0,-ABS(AF37/$AB37),ABS(AF37/$AB37)))&gt;maxvar)=TRUE,"nm",IF(AF37&lt;0,-ABS(AF37/$AB37),ABS(AF37/$AB37)))</f>
        <v>5.1087495562897349E-3</v>
      </c>
      <c r="AH37" s="609"/>
    </row>
    <row r="38" spans="1:75" s="636" customFormat="1" ht="14.4">
      <c r="A38" s="626"/>
      <c r="B38" s="626"/>
      <c r="C38" s="626"/>
      <c r="D38" s="626"/>
      <c r="E38" s="626"/>
      <c r="F38" s="626"/>
      <c r="G38" s="1134" t="s">
        <v>111</v>
      </c>
      <c r="H38" s="1134"/>
      <c r="I38" s="1134"/>
      <c r="J38" s="1134"/>
      <c r="K38" s="1134"/>
      <c r="L38" s="1134"/>
      <c r="M38" s="1134"/>
      <c r="N38" s="630">
        <f t="shared" si="33"/>
        <v>81270.484350254832</v>
      </c>
      <c r="O38" s="629">
        <f t="shared" si="33"/>
        <v>79420.335698514406</v>
      </c>
      <c r="P38" s="629">
        <f t="shared" si="33"/>
        <v>94223.48616093141</v>
      </c>
      <c r="Q38" s="629">
        <f t="shared" si="33"/>
        <v>100608.8179494169</v>
      </c>
      <c r="R38" s="630">
        <f t="shared" si="33"/>
        <v>100899.50036422804</v>
      </c>
      <c r="S38" s="629">
        <f t="shared" si="33"/>
        <v>104215.60940615163</v>
      </c>
      <c r="T38" s="629"/>
      <c r="U38" s="629"/>
      <c r="V38" s="633"/>
      <c r="W38" s="629"/>
      <c r="X38" s="629">
        <f>+SUMIF($N$4:$U$4,$B$1,$N38:$U38)-SUMIF($N$4:$U$4,$A$1,$N38:$U38)</f>
        <v>24795.273707637229</v>
      </c>
      <c r="Y38" s="902">
        <f>IF(OR(ABS(IF(X38&lt;0,-ABS(X38/SUMIF($N$4:$U$4,$A$1,$N38:$U38)),ABS(X38/SUMIF($N$4:$U$4,$A$1,$N38:$U38))))&lt;minvar,ABS(IF(X38&lt;0,-ABS(X38/SUMIF($N$4:$U$4,$A$1,$N38:$U38)),ABS(X38/SUMIF($N$4:$U$4,$A$1,$N38:$U38))))&gt;maxvar)=TRUE,"nm",IF(X38&lt;0,-ABS(X38/SUMIF($N$4:$U$4,$A$1,$N38:$U38)),ABS(X38/SUMIF($N$4:$U$4,$A$1,$N38:$U38))))</f>
        <v>0.31220308362535715</v>
      </c>
      <c r="Z38" s="672"/>
      <c r="AA38" s="634"/>
      <c r="AB38" s="629">
        <f>+SUMIF($N$56:$Q$56,"Yes",$N38:$Q38)</f>
        <v>160690.82004876924</v>
      </c>
      <c r="AC38" s="629">
        <f>+SUMIF($R$56:$U$56,"Yes",$R38:$U38)</f>
        <v>205115.10977037967</v>
      </c>
      <c r="AD38" s="631"/>
      <c r="AE38" s="629"/>
      <c r="AF38" s="629">
        <f t="shared" si="34"/>
        <v>44424.289721610432</v>
      </c>
      <c r="AG38" s="902">
        <f>IF(OR(ABS(IF(AF38&lt;0,-ABS(AF38/$AB38),ABS(AF38/$AB38)))&lt;minvar,ABS(IF(AF38&lt;0,-ABS(AF38/$AB38),ABS(AF38/$AB38)))&gt;maxvar)=TRUE,"nm",IF(AF38&lt;0,-ABS(AF38/$AB38),ABS(AF38/$AB38)))</f>
        <v>0.27645816797828138</v>
      </c>
      <c r="AH38" s="635"/>
    </row>
    <row r="39" spans="1:75" s="636" customFormat="1" ht="14.4">
      <c r="A39" s="626"/>
      <c r="B39" s="626"/>
      <c r="C39" s="626"/>
      <c r="D39" s="626"/>
      <c r="E39" s="626"/>
      <c r="F39" s="626"/>
      <c r="G39" s="1134" t="s">
        <v>112</v>
      </c>
      <c r="H39" s="1134"/>
      <c r="I39" s="1134"/>
      <c r="J39" s="1134"/>
      <c r="K39" s="1134"/>
      <c r="L39" s="1134"/>
      <c r="M39" s="1134"/>
      <c r="N39" s="630">
        <f t="shared" si="33"/>
        <v>-6740.9065244653875</v>
      </c>
      <c r="O39" s="629">
        <f t="shared" si="33"/>
        <v>63.725064043811997</v>
      </c>
      <c r="P39" s="629">
        <f t="shared" si="33"/>
        <v>4770.9079346701164</v>
      </c>
      <c r="Q39" s="629">
        <f t="shared" si="33"/>
        <v>-113.38979964221379</v>
      </c>
      <c r="R39" s="630">
        <f t="shared" si="33"/>
        <v>-6340.3037249549288</v>
      </c>
      <c r="S39" s="629">
        <f t="shared" si="33"/>
        <v>5522.967931780935</v>
      </c>
      <c r="T39" s="629"/>
      <c r="U39" s="629"/>
      <c r="V39" s="633"/>
      <c r="W39" s="629"/>
      <c r="X39" s="629">
        <f>+SUMIF($N$4:$U$4,$B$1,$N39:$U39)-SUMIF($N$4:$U$4,$A$1,$N39:$U39)</f>
        <v>5459.2428677371227</v>
      </c>
      <c r="Y39" s="902" t="str">
        <f>IF(OR(ABS(IF(X39&lt;0,-ABS(X39/SUMIF($N$4:$U$4,$A$1,$N39:$U39)),ABS(X39/SUMIF($N$4:$U$4,$A$1,$N39:$U39))))&lt;minvar,ABS(IF(X39&lt;0,-ABS(X39/SUMIF($N$4:$U$4,$A$1,$N39:$U39)),ABS(X39/SUMIF($N$4:$U$4,$A$1,$N39:$U39))))&gt;maxvar)=TRUE,"nm",IF(X39&lt;0,-ABS(X39/SUMIF($N$4:$U$4,$A$1,$N39:$U39)),ABS(X39/SUMIF($N$4:$U$4,$A$1,$N39:$U39))))</f>
        <v>nm</v>
      </c>
      <c r="Z39" s="672"/>
      <c r="AA39" s="634"/>
      <c r="AB39" s="629">
        <f>+SUMIF($N$56:$Q$56,"Yes",$N39:$Q39)</f>
        <v>-6677.1814604215751</v>
      </c>
      <c r="AC39" s="629">
        <f>+SUMIF($R$56:$U$56,"Yes",$R39:$U39)</f>
        <v>-817.33579317399381</v>
      </c>
      <c r="AD39" s="631"/>
      <c r="AE39" s="629"/>
      <c r="AF39" s="629">
        <f t="shared" si="34"/>
        <v>5859.8456672475813</v>
      </c>
      <c r="AG39" s="902">
        <f>IF(OR(ABS(IF(AF39&lt;0,-ABS(AF39/$AB39),ABS(AF39/$AB39)))&lt;minvar,ABS(IF(AF39&lt;0,-ABS(AF39/$AB39),ABS(AF39/$AB39)))&gt;maxvar)=TRUE,"nm",IF(AF39&lt;0,-ABS(AF39/$AB39),ABS(AF39/$AB39)))</f>
        <v>0.87759269416015095</v>
      </c>
      <c r="AH39" s="635"/>
    </row>
    <row r="40" spans="1:75" s="610" customFormat="1" ht="15" thickBot="1">
      <c r="A40" s="600"/>
      <c r="B40" s="600"/>
      <c r="C40" s="600"/>
      <c r="D40" s="600"/>
      <c r="E40" s="600"/>
      <c r="F40" s="600"/>
      <c r="G40" s="963"/>
      <c r="H40" s="1134" t="s">
        <v>113</v>
      </c>
      <c r="I40" s="1134"/>
      <c r="J40" s="1134"/>
      <c r="K40" s="1134"/>
      <c r="L40" s="1134"/>
      <c r="M40" s="1134"/>
      <c r="N40" s="670">
        <f t="shared" ref="N40:R40" si="35">+SUM(N37:N39)</f>
        <v>221314.8466147701</v>
      </c>
      <c r="O40" s="669">
        <f t="shared" si="35"/>
        <v>234496.49775596531</v>
      </c>
      <c r="P40" s="669">
        <f t="shared" si="35"/>
        <v>271678.6745994878</v>
      </c>
      <c r="Q40" s="669">
        <f t="shared" si="35"/>
        <v>247073.92775672674</v>
      </c>
      <c r="R40" s="670">
        <f t="shared" si="35"/>
        <v>249418.30000565809</v>
      </c>
      <c r="S40" s="669">
        <f t="shared" ref="S40" si="36">+SUM(S37:S39)</f>
        <v>258218.98864944035</v>
      </c>
      <c r="T40" s="669"/>
      <c r="U40" s="669"/>
      <c r="V40" s="604"/>
      <c r="W40" s="601"/>
      <c r="X40" s="669">
        <f>+SUMIF($N$4:$U$4,$B$1,$N40:$U40)-SUMIF($N$4:$U$4,$A$1,$N40:$U40)</f>
        <v>23722.490893475042</v>
      </c>
      <c r="Y40" s="905">
        <f>IF(OR(ABS(IF(X40&lt;0,-ABS(X40/SUMIF($N$4:$U$4,$A$1,$N40:$U40)),ABS(X40/SUMIF($N$4:$U$4,$A$1,$N40:$U40))))&lt;minvar,ABS(IF(X40&lt;0,-ABS(X40/SUMIF($N$4:$U$4,$A$1,$N40:$U40)),ABS(X40/SUMIF($N$4:$U$4,$A$1,$N40:$U40))))&gt;maxvar)=TRUE,"nm",IF(X40&lt;0,-ABS(X40/SUMIF($N$4:$U$4,$A$1,$N40:$U40)),ABS(X40/SUMIF($N$4:$U$4,$A$1,$N40:$U40))))</f>
        <v>0.10116351894586695</v>
      </c>
      <c r="Z40" s="614"/>
      <c r="AA40" s="605"/>
      <c r="AB40" s="669">
        <f>+SUMIF($N$56:$Q$56,"Yes",$N40:$Q40)</f>
        <v>455811.3443707354</v>
      </c>
      <c r="AC40" s="669">
        <f>+SUMIF($R$56:$U$56,"Yes",$R40:$U40)</f>
        <v>507637.28865509841</v>
      </c>
      <c r="AD40" s="603"/>
      <c r="AE40" s="601"/>
      <c r="AF40" s="669">
        <f t="shared" si="34"/>
        <v>51825.94428436301</v>
      </c>
      <c r="AG40" s="905">
        <f>IF(OR(ABS(IF(AF40&lt;0,-ABS(AF40/$AB40),ABS(AF40/$AB40)))&lt;minvar,ABS(IF(AF40&lt;0,-ABS(AF40/$AB40),ABS(AF40/$AB40)))&gt;maxvar)=TRUE,"nm",IF(AF40&lt;0,-ABS(AF40/$AB40),ABS(AF40/$AB40)))</f>
        <v>0.11370042655676037</v>
      </c>
      <c r="AH40" s="609"/>
    </row>
    <row r="41" spans="1:75" ht="15" thickTop="1">
      <c r="AH41"/>
    </row>
    <row r="42" spans="1:75" ht="14.4">
      <c r="T42" s="1041"/>
      <c r="AH42"/>
    </row>
    <row r="43" spans="1:75" ht="14.4">
      <c r="AH43"/>
    </row>
    <row r="44" spans="1:75" ht="14.4">
      <c r="G44" s="969"/>
      <c r="H44" s="160"/>
      <c r="I44" s="160"/>
      <c r="J44" s="160"/>
      <c r="K44" s="160"/>
      <c r="L44" s="160"/>
      <c r="M44" s="160"/>
      <c r="N44" s="160"/>
      <c r="O44" s="160"/>
      <c r="P44" s="160"/>
      <c r="Q44" s="160"/>
      <c r="R44" s="160"/>
      <c r="S44" s="417"/>
      <c r="T44" s="417"/>
      <c r="U44" s="417"/>
      <c r="V44" s="160"/>
      <c r="W44" s="160"/>
      <c r="X44" s="160"/>
      <c r="Y44" s="680"/>
      <c r="Z44" s="160"/>
      <c r="AA44" s="160"/>
      <c r="AB44" s="160"/>
      <c r="AC44" s="160"/>
      <c r="AD44" s="160"/>
      <c r="AE44" s="160"/>
      <c r="AF44" s="160"/>
      <c r="AG44" s="690"/>
      <c r="AH44"/>
    </row>
    <row r="45" spans="1:75" ht="14.4">
      <c r="AH45"/>
    </row>
    <row r="46" spans="1:75" ht="15" customHeight="1">
      <c r="G46" s="970" t="s">
        <v>42</v>
      </c>
      <c r="H46" s="1147" t="s">
        <v>768</v>
      </c>
      <c r="I46" s="1147"/>
      <c r="J46" s="1147"/>
      <c r="K46" s="1147"/>
      <c r="L46" s="1147"/>
      <c r="M46" s="1147"/>
      <c r="N46" s="1147"/>
      <c r="O46" s="1147"/>
      <c r="P46" s="1147"/>
      <c r="Q46" s="1147"/>
      <c r="R46" s="1147"/>
      <c r="S46" s="1147"/>
      <c r="T46" s="1147"/>
      <c r="U46" s="1147"/>
      <c r="V46" s="1147"/>
      <c r="W46" s="1147"/>
      <c r="X46" s="1147"/>
      <c r="Y46" s="1147"/>
      <c r="Z46" s="1147"/>
      <c r="AA46" s="1147"/>
      <c r="AB46" s="1147"/>
      <c r="AC46" s="1147"/>
      <c r="AD46" s="1147"/>
      <c r="AE46" s="1147"/>
      <c r="AF46" s="1147"/>
      <c r="AG46" s="1147"/>
      <c r="AH46" s="272"/>
      <c r="AI46" s="272"/>
      <c r="AJ46" s="272"/>
      <c r="AK46" s="272"/>
      <c r="AL46" s="272"/>
      <c r="AM46" s="272"/>
      <c r="AN46" s="272"/>
      <c r="AO46" s="272"/>
      <c r="AP46" s="272"/>
      <c r="AQ46" s="272"/>
      <c r="AR46" s="272"/>
      <c r="AS46" s="272"/>
      <c r="AT46" s="272"/>
      <c r="AU46" s="272"/>
      <c r="AV46" s="272"/>
      <c r="AW46" s="272"/>
      <c r="AX46" s="272"/>
      <c r="AY46" s="272"/>
      <c r="AZ46" s="272"/>
      <c r="BA46" s="272"/>
      <c r="BB46" s="272"/>
      <c r="BC46" s="272"/>
      <c r="BD46" s="272"/>
      <c r="BE46" s="272"/>
      <c r="BF46" s="272"/>
      <c r="BG46" s="272"/>
      <c r="BH46" s="272"/>
      <c r="BI46" s="272"/>
      <c r="BJ46" s="272"/>
      <c r="BK46" s="272"/>
      <c r="BL46" s="272"/>
      <c r="BM46" s="272"/>
      <c r="BN46" s="272"/>
      <c r="BO46" s="272"/>
      <c r="BP46" s="272"/>
      <c r="BQ46" s="272"/>
      <c r="BR46" s="272"/>
      <c r="BS46" s="272"/>
      <c r="BT46" s="272"/>
      <c r="BU46" s="272"/>
      <c r="BV46" s="272"/>
      <c r="BW46" s="272"/>
    </row>
    <row r="47" spans="1:75" ht="15" customHeight="1">
      <c r="G47" s="970" t="s">
        <v>44</v>
      </c>
      <c r="H47" s="1147" t="s">
        <v>769</v>
      </c>
      <c r="I47" s="1147"/>
      <c r="J47" s="1147"/>
      <c r="K47" s="1147"/>
      <c r="L47" s="1147"/>
      <c r="M47" s="1147"/>
      <c r="N47" s="1147"/>
      <c r="O47" s="1147"/>
      <c r="P47" s="1147"/>
      <c r="Q47" s="1147"/>
      <c r="R47" s="1147"/>
      <c r="S47" s="1147"/>
      <c r="T47" s="1147"/>
      <c r="U47" s="1147"/>
      <c r="V47" s="1147"/>
      <c r="W47" s="1147"/>
      <c r="X47" s="1147"/>
      <c r="Y47" s="1147"/>
      <c r="Z47" s="1147"/>
      <c r="AA47" s="1147"/>
      <c r="AB47" s="1147"/>
      <c r="AC47" s="1147"/>
      <c r="AD47" s="1147"/>
      <c r="AE47" s="1147"/>
      <c r="AF47" s="1147"/>
      <c r="AG47" s="1147"/>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272"/>
      <c r="BR47" s="272"/>
      <c r="BS47" s="272"/>
      <c r="BT47" s="272"/>
      <c r="BU47" s="272"/>
      <c r="BV47" s="272"/>
      <c r="BW47" s="272"/>
    </row>
    <row r="48" spans="1:75" ht="15" customHeight="1">
      <c r="G48" s="970" t="s">
        <v>211</v>
      </c>
      <c r="H48" s="1147" t="s">
        <v>770</v>
      </c>
      <c r="I48" s="1147"/>
      <c r="J48" s="1147"/>
      <c r="K48" s="1147"/>
      <c r="L48" s="1147"/>
      <c r="M48" s="1147"/>
      <c r="N48" s="1147"/>
      <c r="O48" s="1147"/>
      <c r="P48" s="1147"/>
      <c r="Q48" s="1147"/>
      <c r="R48" s="1147"/>
      <c r="S48" s="1147"/>
      <c r="T48" s="1147"/>
      <c r="U48" s="1147"/>
      <c r="V48" s="1147"/>
      <c r="W48" s="1147"/>
      <c r="X48" s="1147"/>
      <c r="Y48" s="1147"/>
      <c r="Z48" s="1147"/>
      <c r="AA48" s="1147"/>
      <c r="AB48" s="1147"/>
      <c r="AC48" s="1147"/>
      <c r="AD48" s="1147"/>
      <c r="AE48" s="1147"/>
      <c r="AF48" s="1147"/>
      <c r="AG48" s="1147"/>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272"/>
      <c r="BK48" s="272"/>
      <c r="BL48" s="272"/>
      <c r="BM48" s="272"/>
      <c r="BN48" s="272"/>
      <c r="BO48" s="272"/>
      <c r="BP48" s="272"/>
      <c r="BQ48" s="272"/>
      <c r="BR48" s="272"/>
      <c r="BS48" s="272"/>
      <c r="BT48" s="272"/>
      <c r="BU48" s="272"/>
      <c r="BV48" s="272"/>
      <c r="BW48" s="272"/>
    </row>
    <row r="56" spans="1:33">
      <c r="N56" s="252" t="str">
        <f t="shared" ref="N56:T56" si="37">+IF(RIGHT(LEFT(N$4,2),1)&lt;=RIGHT(LEFT($B$1,2),1),"Yes","")</f>
        <v>Yes</v>
      </c>
      <c r="O56" s="252" t="str">
        <f t="shared" si="37"/>
        <v>Yes</v>
      </c>
      <c r="P56" s="252" t="str">
        <f t="shared" si="37"/>
        <v/>
      </c>
      <c r="Q56" s="252" t="str">
        <f t="shared" si="37"/>
        <v/>
      </c>
      <c r="R56" s="273" t="str">
        <f t="shared" si="37"/>
        <v>Yes</v>
      </c>
      <c r="S56" s="346" t="str">
        <f t="shared" si="37"/>
        <v>Yes</v>
      </c>
      <c r="T56" s="346" t="str">
        <f t="shared" si="37"/>
        <v/>
      </c>
      <c r="U56" s="346" t="str">
        <f>+IF(RIGHT(LEFT(U$4,2),1)&lt;=RIGHT(LEFT($B$1,2),1),"Yes","")</f>
        <v/>
      </c>
    </row>
    <row r="57" spans="1:33" s="252" customFormat="1">
      <c r="A57" s="274"/>
      <c r="B57" s="274"/>
      <c r="C57" s="274"/>
      <c r="D57" s="274"/>
      <c r="E57" s="274"/>
      <c r="F57" s="274"/>
      <c r="G57" s="971"/>
      <c r="N57" s="1104" t="s">
        <v>886</v>
      </c>
      <c r="O57" s="1105" t="s">
        <v>887</v>
      </c>
      <c r="P57" s="1105" t="s">
        <v>888</v>
      </c>
      <c r="Q57" s="1105" t="s">
        <v>889</v>
      </c>
      <c r="R57" s="1104" t="s">
        <v>903</v>
      </c>
      <c r="S57" s="427" t="s">
        <v>904</v>
      </c>
      <c r="T57" s="427" t="s">
        <v>905</v>
      </c>
      <c r="U57" s="427" t="s">
        <v>906</v>
      </c>
      <c r="Y57" s="641"/>
      <c r="AG57" s="652"/>
    </row>
    <row r="58" spans="1:33">
      <c r="N58" s="278" t="str">
        <f t="shared" ref="N58:U58" si="38">+IF(ROUND((N61+N93+N132+N136),0)&lt;&gt;0,"ERROR","")</f>
        <v/>
      </c>
      <c r="O58" s="277" t="str">
        <f t="shared" si="38"/>
        <v/>
      </c>
      <c r="P58" s="277" t="str">
        <f t="shared" si="38"/>
        <v/>
      </c>
      <c r="Q58" s="277" t="str">
        <f t="shared" si="38"/>
        <v/>
      </c>
      <c r="R58" s="278" t="str">
        <f t="shared" si="38"/>
        <v/>
      </c>
      <c r="S58" s="419" t="str">
        <f t="shared" si="38"/>
        <v/>
      </c>
      <c r="T58" s="419" t="str">
        <f t="shared" si="38"/>
        <v>ERROR</v>
      </c>
      <c r="U58" s="419" t="str">
        <f t="shared" si="38"/>
        <v/>
      </c>
    </row>
    <row r="59" spans="1:33">
      <c r="A59" s="279"/>
      <c r="B59" s="280"/>
      <c r="C59" s="280"/>
      <c r="D59" s="280"/>
      <c r="E59" s="280"/>
      <c r="F59" s="280"/>
      <c r="G59" s="281">
        <v>-1</v>
      </c>
      <c r="H59" s="893" t="str">
        <f>+J18</f>
        <v>Total Revenues</v>
      </c>
      <c r="I59" s="893"/>
      <c r="J59" s="893"/>
      <c r="K59" s="893"/>
      <c r="L59" s="893"/>
      <c r="M59" s="893"/>
      <c r="N59" s="282">
        <f t="shared" ref="N59:U59" si="39">+N18</f>
        <v>804842.925647542</v>
      </c>
      <c r="O59" s="281">
        <f t="shared" si="39"/>
        <v>793334.03889380489</v>
      </c>
      <c r="P59" s="281">
        <f t="shared" si="39"/>
        <v>839851.89401720301</v>
      </c>
      <c r="Q59" s="281">
        <f t="shared" si="39"/>
        <v>853683.24450927821</v>
      </c>
      <c r="R59" s="282">
        <f t="shared" si="39"/>
        <v>872693.12245528831</v>
      </c>
      <c r="S59" s="420">
        <f t="shared" si="39"/>
        <v>865066.18036519911</v>
      </c>
      <c r="T59" s="420">
        <f t="shared" si="39"/>
        <v>0</v>
      </c>
      <c r="U59" s="420">
        <f t="shared" si="39"/>
        <v>0</v>
      </c>
    </row>
    <row r="60" spans="1:33">
      <c r="A60" s="283" t="s">
        <v>52</v>
      </c>
      <c r="B60" s="283" t="s">
        <v>50</v>
      </c>
      <c r="C60" s="283" t="s">
        <v>61</v>
      </c>
      <c r="D60" s="283" t="s">
        <v>116</v>
      </c>
      <c r="E60" s="283" t="s">
        <v>129</v>
      </c>
      <c r="F60" s="283"/>
      <c r="G60" s="284">
        <v>-1</v>
      </c>
      <c r="H60" s="894"/>
      <c r="I60" s="145" t="str">
        <f>+RIGHT(D60,LEN(D60)-5)</f>
        <v>Total Revenues</v>
      </c>
      <c r="J60" s="145"/>
      <c r="K60" s="145"/>
      <c r="L60" s="145"/>
      <c r="M60" s="145"/>
      <c r="N60" s="285">
        <v>-804842.92564754211</v>
      </c>
      <c r="O60" s="284">
        <v>-793334.03889380489</v>
      </c>
      <c r="P60" s="284">
        <v>-839851.89401720313</v>
      </c>
      <c r="Q60" s="284">
        <v>-853683.24450927833</v>
      </c>
      <c r="R60" s="285">
        <v>-872693.12245528831</v>
      </c>
      <c r="S60" s="421">
        <v>-865066.18036519922</v>
      </c>
      <c r="T60" s="421">
        <v>-78359.981923121915</v>
      </c>
      <c r="U60" s="421">
        <v>0</v>
      </c>
    </row>
    <row r="61" spans="1:33" ht="14.4" thickBot="1">
      <c r="G61" s="253"/>
      <c r="I61" s="895" t="s">
        <v>119</v>
      </c>
      <c r="J61" s="895"/>
      <c r="K61" s="895"/>
      <c r="L61" s="895"/>
      <c r="M61" s="895"/>
      <c r="N61" s="289">
        <f t="shared" ref="N61:U61" si="40">+SUM(N59:N60)</f>
        <v>0</v>
      </c>
      <c r="O61" s="288">
        <f t="shared" si="40"/>
        <v>0</v>
      </c>
      <c r="P61" s="288">
        <f t="shared" si="40"/>
        <v>0</v>
      </c>
      <c r="Q61" s="288">
        <f t="shared" si="40"/>
        <v>0</v>
      </c>
      <c r="R61" s="289">
        <f t="shared" si="40"/>
        <v>0</v>
      </c>
      <c r="S61" s="422">
        <f t="shared" si="40"/>
        <v>0</v>
      </c>
      <c r="T61" s="422">
        <f t="shared" si="40"/>
        <v>-78359.981923121915</v>
      </c>
      <c r="U61" s="422">
        <f t="shared" si="40"/>
        <v>0</v>
      </c>
    </row>
    <row r="62" spans="1:33" ht="14.4" thickTop="1">
      <c r="G62" s="253"/>
      <c r="N62" s="250"/>
      <c r="R62" s="250"/>
    </row>
    <row r="63" spans="1:33">
      <c r="A63" s="279"/>
      <c r="B63" s="280"/>
      <c r="C63" s="280"/>
      <c r="D63" s="280"/>
      <c r="E63" s="280"/>
      <c r="F63" s="280"/>
      <c r="G63" s="281">
        <v>-1</v>
      </c>
      <c r="H63" s="893" t="str">
        <f>+H7</f>
        <v>Direct premiums</v>
      </c>
      <c r="I63" s="893"/>
      <c r="J63" s="893"/>
      <c r="K63" s="893"/>
      <c r="L63" s="893"/>
      <c r="M63" s="893"/>
      <c r="N63" s="282">
        <f t="shared" ref="N63:U63" si="41">+SUM(N64:N65)</f>
        <v>-858844.65038412961</v>
      </c>
      <c r="O63" s="281">
        <f t="shared" si="41"/>
        <v>-866254.47920119704</v>
      </c>
      <c r="P63" s="281">
        <f t="shared" si="41"/>
        <v>-868650.95454983681</v>
      </c>
      <c r="Q63" s="281">
        <f t="shared" si="41"/>
        <v>-869029.95904322609</v>
      </c>
      <c r="R63" s="282">
        <f t="shared" si="41"/>
        <v>-871245.85693240829</v>
      </c>
      <c r="S63" s="420">
        <f t="shared" si="41"/>
        <v>-877753.55957243673</v>
      </c>
      <c r="T63" s="420">
        <f t="shared" si="41"/>
        <v>-196400.09492965144</v>
      </c>
      <c r="U63" s="420">
        <f t="shared" si="41"/>
        <v>0</v>
      </c>
    </row>
    <row r="64" spans="1:33">
      <c r="A64" s="283" t="s">
        <v>52</v>
      </c>
      <c r="B64" s="283" t="s">
        <v>50</v>
      </c>
      <c r="C64" s="283" t="s">
        <v>61</v>
      </c>
      <c r="D64" s="283" t="s">
        <v>115</v>
      </c>
      <c r="E64" s="283" t="s">
        <v>129</v>
      </c>
      <c r="F64" s="283"/>
      <c r="G64" s="284">
        <v>-1</v>
      </c>
      <c r="H64" s="894"/>
      <c r="I64" s="145" t="str">
        <f>+RIGHT(D64,LEN(D64)-5)</f>
        <v>Direct Premium</v>
      </c>
      <c r="J64" s="145"/>
      <c r="K64" s="145"/>
      <c r="L64" s="145"/>
      <c r="M64" s="145"/>
      <c r="N64" s="285">
        <v>-858844.65038412961</v>
      </c>
      <c r="O64" s="284">
        <v>-866254.47920119704</v>
      </c>
      <c r="P64" s="284">
        <v>-868650.95454983681</v>
      </c>
      <c r="Q64" s="284">
        <v>-869029.95904322609</v>
      </c>
      <c r="R64" s="285">
        <v>-871245.85693240829</v>
      </c>
      <c r="S64" s="421">
        <v>-877753.55957243673</v>
      </c>
      <c r="T64" s="421">
        <v>-196400.09492965144</v>
      </c>
      <c r="U64" s="421">
        <v>0</v>
      </c>
    </row>
    <row r="65" spans="1:21">
      <c r="G65" s="253"/>
      <c r="N65" s="250"/>
      <c r="R65" s="250"/>
    </row>
    <row r="66" spans="1:21">
      <c r="A66" s="279"/>
      <c r="B66" s="280"/>
      <c r="C66" s="280"/>
      <c r="D66" s="280"/>
      <c r="E66" s="280"/>
      <c r="F66" s="280"/>
      <c r="G66" s="281">
        <v>-1</v>
      </c>
      <c r="H66" s="893" t="str">
        <f>+H8</f>
        <v>Ceded premiums</v>
      </c>
      <c r="I66" s="893"/>
      <c r="J66" s="893"/>
      <c r="K66" s="893"/>
      <c r="L66" s="893"/>
      <c r="M66" s="893"/>
      <c r="N66" s="282">
        <f t="shared" ref="N66:U66" si="42">+SUM(N67:N68)</f>
        <v>410521.49956292834</v>
      </c>
      <c r="O66" s="281">
        <f t="shared" si="42"/>
        <v>433408.48529131553</v>
      </c>
      <c r="P66" s="281">
        <f t="shared" si="42"/>
        <v>414103.85179506184</v>
      </c>
      <c r="Q66" s="281">
        <f t="shared" si="42"/>
        <v>420843.29493054264</v>
      </c>
      <c r="R66" s="282">
        <f t="shared" si="42"/>
        <v>414858.90556885977</v>
      </c>
      <c r="S66" s="420">
        <f t="shared" si="42"/>
        <v>442280.29401642876</v>
      </c>
      <c r="T66" s="420">
        <f t="shared" si="42"/>
        <v>140190.54385517334</v>
      </c>
      <c r="U66" s="420">
        <f t="shared" si="42"/>
        <v>0</v>
      </c>
    </row>
    <row r="67" spans="1:21">
      <c r="A67" s="283" t="s">
        <v>52</v>
      </c>
      <c r="B67" s="283" t="s">
        <v>50</v>
      </c>
      <c r="C67" s="283" t="s">
        <v>61</v>
      </c>
      <c r="D67" s="283" t="s">
        <v>120</v>
      </c>
      <c r="E67" s="283" t="s">
        <v>129</v>
      </c>
      <c r="F67" s="283"/>
      <c r="G67" s="284">
        <v>-1</v>
      </c>
      <c r="H67" s="894"/>
      <c r="I67" s="145" t="str">
        <f>+RIGHT(D67,LEN(D67)-5)</f>
        <v>Ceded Premium</v>
      </c>
      <c r="J67" s="145"/>
      <c r="K67" s="145"/>
      <c r="L67" s="145"/>
      <c r="M67" s="145"/>
      <c r="N67" s="285">
        <v>410521.49956292834</v>
      </c>
      <c r="O67" s="284">
        <v>433408.48529131553</v>
      </c>
      <c r="P67" s="284">
        <v>414103.85179506184</v>
      </c>
      <c r="Q67" s="284">
        <v>420843.29493054264</v>
      </c>
      <c r="R67" s="285">
        <v>414858.90556885977</v>
      </c>
      <c r="S67" s="421">
        <v>442280.29401642876</v>
      </c>
      <c r="T67" s="421">
        <v>140190.54385517334</v>
      </c>
      <c r="U67" s="421">
        <v>0</v>
      </c>
    </row>
    <row r="68" spans="1:21">
      <c r="G68" s="253"/>
      <c r="N68" s="250"/>
      <c r="R68" s="250"/>
    </row>
    <row r="69" spans="1:21">
      <c r="A69" s="279"/>
      <c r="B69" s="280"/>
      <c r="C69" s="280"/>
      <c r="D69" s="280"/>
      <c r="E69" s="280"/>
      <c r="F69" s="280"/>
      <c r="G69" s="281">
        <v>-1</v>
      </c>
      <c r="H69" s="893" t="str">
        <f>+H10</f>
        <v>Net investment income</v>
      </c>
      <c r="I69" s="893"/>
      <c r="J69" s="893"/>
      <c r="K69" s="893"/>
      <c r="L69" s="893"/>
      <c r="M69" s="893"/>
      <c r="N69" s="282">
        <f t="shared" ref="N69:U69" si="43">+SUM(N70:N71)</f>
        <v>-41671.07165379556</v>
      </c>
      <c r="O69" s="281">
        <f t="shared" si="43"/>
        <v>-40928.088615971748</v>
      </c>
      <c r="P69" s="281">
        <f t="shared" si="43"/>
        <v>-42430.843660362589</v>
      </c>
      <c r="Q69" s="281">
        <f t="shared" si="43"/>
        <v>-42122.20925036721</v>
      </c>
      <c r="R69" s="282">
        <f t="shared" si="43"/>
        <v>-43283.190339651846</v>
      </c>
      <c r="S69" s="420">
        <f t="shared" si="43"/>
        <v>-43737.713263577185</v>
      </c>
      <c r="T69" s="420">
        <f t="shared" si="43"/>
        <v>-1794.7247999622821</v>
      </c>
      <c r="U69" s="420">
        <f t="shared" si="43"/>
        <v>0</v>
      </c>
    </row>
    <row r="70" spans="1:21">
      <c r="A70" s="283" t="s">
        <v>52</v>
      </c>
      <c r="B70" s="283" t="s">
        <v>50</v>
      </c>
      <c r="C70" s="283" t="s">
        <v>61</v>
      </c>
      <c r="D70" s="283" t="s">
        <v>121</v>
      </c>
      <c r="E70" s="283" t="s">
        <v>129</v>
      </c>
      <c r="F70" s="283"/>
      <c r="G70" s="284">
        <v>-1</v>
      </c>
      <c r="H70" s="894"/>
      <c r="I70" s="145" t="str">
        <f>+RIGHT(D70,LEN(D70)-5)</f>
        <v>Net Investment Income</v>
      </c>
      <c r="J70" s="145"/>
      <c r="K70" s="145"/>
      <c r="L70" s="145"/>
      <c r="M70" s="145"/>
      <c r="N70" s="285">
        <v>-41671.07165379556</v>
      </c>
      <c r="O70" s="284">
        <v>-40928.088615971748</v>
      </c>
      <c r="P70" s="284">
        <v>-42430.843660362589</v>
      </c>
      <c r="Q70" s="284">
        <v>-42122.20925036721</v>
      </c>
      <c r="R70" s="285">
        <v>-43283.190339651846</v>
      </c>
      <c r="S70" s="421">
        <v>-43737.713263577185</v>
      </c>
      <c r="T70" s="421">
        <v>-1794.7247999622821</v>
      </c>
      <c r="U70" s="421">
        <v>0</v>
      </c>
    </row>
    <row r="71" spans="1:21">
      <c r="G71" s="253"/>
      <c r="N71" s="250"/>
      <c r="R71" s="250"/>
    </row>
    <row r="72" spans="1:21">
      <c r="A72" s="279"/>
      <c r="B72" s="280"/>
      <c r="C72" s="280"/>
      <c r="D72" s="280"/>
      <c r="E72" s="280"/>
      <c r="F72" s="280"/>
      <c r="G72" s="281">
        <v>-1</v>
      </c>
      <c r="H72" s="893" t="str">
        <f>+I12</f>
        <v>Sales-based (1)</v>
      </c>
      <c r="I72" s="893"/>
      <c r="J72" s="893"/>
      <c r="K72" s="893"/>
      <c r="L72" s="893"/>
      <c r="M72" s="893"/>
      <c r="N72" s="282">
        <f t="shared" ref="N72:U72" si="44">+SUM(N73:N74)</f>
        <v>-111270.37773963185</v>
      </c>
      <c r="O72" s="281">
        <f t="shared" si="44"/>
        <v>-115933.33368721513</v>
      </c>
      <c r="P72" s="281">
        <f t="shared" si="44"/>
        <v>-118637.09193690094</v>
      </c>
      <c r="Q72" s="281">
        <f t="shared" si="44"/>
        <v>-131305.31036238626</v>
      </c>
      <c r="R72" s="282">
        <f t="shared" si="44"/>
        <v>-136355.10899602814</v>
      </c>
      <c r="S72" s="420">
        <f t="shared" si="44"/>
        <v>-135509.10549501408</v>
      </c>
      <c r="T72" s="420">
        <f t="shared" si="44"/>
        <v>-22070.667735354524</v>
      </c>
      <c r="U72" s="420">
        <f t="shared" si="44"/>
        <v>0</v>
      </c>
    </row>
    <row r="73" spans="1:21">
      <c r="A73" s="283" t="s">
        <v>52</v>
      </c>
      <c r="B73" s="283" t="s">
        <v>50</v>
      </c>
      <c r="C73" s="283" t="s">
        <v>61</v>
      </c>
      <c r="D73" s="283" t="s">
        <v>122</v>
      </c>
      <c r="E73" s="283" t="s">
        <v>129</v>
      </c>
      <c r="F73" s="283"/>
      <c r="G73" s="284">
        <v>-1</v>
      </c>
      <c r="H73" s="894"/>
      <c r="I73" s="145" t="str">
        <f>+RIGHT(D73,LEN(D73)-5)</f>
        <v>Sales Based Revenue</v>
      </c>
      <c r="J73" s="145"/>
      <c r="K73" s="145"/>
      <c r="L73" s="145"/>
      <c r="M73" s="145"/>
      <c r="N73" s="285">
        <v>-111270.37773963185</v>
      </c>
      <c r="O73" s="284">
        <v>-115933.33368721513</v>
      </c>
      <c r="P73" s="284">
        <v>-118637.09193690094</v>
      </c>
      <c r="Q73" s="284">
        <v>-131305.31036238626</v>
      </c>
      <c r="R73" s="285">
        <v>-136355.10899602814</v>
      </c>
      <c r="S73" s="421">
        <v>-135509.10549501408</v>
      </c>
      <c r="T73" s="421">
        <v>-22070.667735354524</v>
      </c>
      <c r="U73" s="421">
        <v>0</v>
      </c>
    </row>
    <row r="74" spans="1:21">
      <c r="G74" s="253"/>
      <c r="N74" s="250"/>
      <c r="R74" s="250"/>
    </row>
    <row r="75" spans="1:21">
      <c r="A75" s="279"/>
      <c r="B75" s="280"/>
      <c r="C75" s="280"/>
      <c r="D75" s="280"/>
      <c r="E75" s="280"/>
      <c r="F75" s="280"/>
      <c r="G75" s="281">
        <v>-1</v>
      </c>
      <c r="H75" s="893" t="str">
        <f>+I13</f>
        <v>Asset-based (2)</v>
      </c>
      <c r="I75" s="893"/>
      <c r="J75" s="893"/>
      <c r="K75" s="893"/>
      <c r="L75" s="893"/>
      <c r="M75" s="893"/>
      <c r="N75" s="282">
        <f t="shared" ref="N75:U75" si="45">+SUM(N76:N77)</f>
        <v>-152014.43639187611</v>
      </c>
      <c r="O75" s="281">
        <f t="shared" si="45"/>
        <v>-154734.58171857041</v>
      </c>
      <c r="P75" s="281">
        <f t="shared" si="45"/>
        <v>-172286.48846890862</v>
      </c>
      <c r="Q75" s="281">
        <f t="shared" si="45"/>
        <v>-181407.47323064195</v>
      </c>
      <c r="R75" s="282">
        <f t="shared" si="45"/>
        <v>-187366.4282321558</v>
      </c>
      <c r="S75" s="420">
        <f t="shared" si="45"/>
        <v>-197598.41666312199</v>
      </c>
      <c r="T75" s="420">
        <f t="shared" si="45"/>
        <v>6790.1259939764068</v>
      </c>
      <c r="U75" s="420">
        <f t="shared" si="45"/>
        <v>0</v>
      </c>
    </row>
    <row r="76" spans="1:21">
      <c r="A76" s="283" t="s">
        <v>52</v>
      </c>
      <c r="B76" s="283" t="s">
        <v>50</v>
      </c>
      <c r="C76" s="283" t="s">
        <v>61</v>
      </c>
      <c r="D76" s="283" t="s">
        <v>123</v>
      </c>
      <c r="E76" s="283" t="s">
        <v>129</v>
      </c>
      <c r="F76" s="283"/>
      <c r="G76" s="284">
        <v>-1</v>
      </c>
      <c r="H76" s="894"/>
      <c r="I76" s="145" t="str">
        <f>+RIGHT(D76,LEN(D76)-5)</f>
        <v>Asset Based Revenue</v>
      </c>
      <c r="J76" s="145"/>
      <c r="K76" s="145"/>
      <c r="L76" s="145"/>
      <c r="M76" s="145"/>
      <c r="N76" s="285">
        <v>-152014.43639187611</v>
      </c>
      <c r="O76" s="284">
        <v>-154734.58171857041</v>
      </c>
      <c r="P76" s="284">
        <v>-172286.48846890862</v>
      </c>
      <c r="Q76" s="284">
        <v>-181407.47323064195</v>
      </c>
      <c r="R76" s="285">
        <v>-187366.4282321558</v>
      </c>
      <c r="S76" s="421">
        <v>-197598.41666312199</v>
      </c>
      <c r="T76" s="421">
        <v>6790.1259939764068</v>
      </c>
      <c r="U76" s="421">
        <v>0</v>
      </c>
    </row>
    <row r="77" spans="1:21">
      <c r="G77" s="253"/>
      <c r="N77" s="250"/>
      <c r="R77" s="250"/>
    </row>
    <row r="78" spans="1:21">
      <c r="A78" s="279"/>
      <c r="B78" s="280"/>
      <c r="C78" s="280"/>
      <c r="D78" s="280"/>
      <c r="E78" s="280"/>
      <c r="F78" s="280"/>
      <c r="G78" s="281">
        <v>-1</v>
      </c>
      <c r="H78" s="893" t="str">
        <f>+I14</f>
        <v>Account-based (3)</v>
      </c>
      <c r="I78" s="893"/>
      <c r="J78" s="893"/>
      <c r="K78" s="893"/>
      <c r="L78" s="893"/>
      <c r="M78" s="893"/>
      <c r="N78" s="282">
        <f t="shared" ref="N78:U78" si="46">+SUM(N79:N80)</f>
        <v>-24194.529030000002</v>
      </c>
      <c r="O78" s="281">
        <f t="shared" si="46"/>
        <v>-24393.52131</v>
      </c>
      <c r="P78" s="281">
        <f t="shared" si="46"/>
        <v>-24420.185280000002</v>
      </c>
      <c r="Q78" s="281">
        <f t="shared" si="46"/>
        <v>-24347.207630000001</v>
      </c>
      <c r="R78" s="282">
        <f t="shared" si="46"/>
        <v>-23618.55299</v>
      </c>
      <c r="S78" s="420">
        <f t="shared" si="46"/>
        <v>-24118.351420000003</v>
      </c>
      <c r="T78" s="420">
        <f t="shared" si="46"/>
        <v>-178.91892000000001</v>
      </c>
      <c r="U78" s="420">
        <f t="shared" si="46"/>
        <v>0</v>
      </c>
    </row>
    <row r="79" spans="1:21">
      <c r="A79" s="283" t="s">
        <v>52</v>
      </c>
      <c r="B79" s="283" t="s">
        <v>50</v>
      </c>
      <c r="C79" s="283" t="s">
        <v>61</v>
      </c>
      <c r="D79" s="283" t="s">
        <v>124</v>
      </c>
      <c r="E79" s="283" t="s">
        <v>129</v>
      </c>
      <c r="F79" s="283"/>
      <c r="G79" s="284">
        <v>-1</v>
      </c>
      <c r="H79" s="894"/>
      <c r="I79" s="145" t="str">
        <f>+RIGHT(D79,LEN(D79)-5)</f>
        <v>Account Based Revenue</v>
      </c>
      <c r="J79" s="145"/>
      <c r="K79" s="145"/>
      <c r="L79" s="145"/>
      <c r="M79" s="145"/>
      <c r="N79" s="285">
        <v>-24194.529030000002</v>
      </c>
      <c r="O79" s="284">
        <v>-24393.52131</v>
      </c>
      <c r="P79" s="284">
        <v>-24420.185280000002</v>
      </c>
      <c r="Q79" s="284">
        <v>-24347.207630000001</v>
      </c>
      <c r="R79" s="285">
        <v>-23618.55299</v>
      </c>
      <c r="S79" s="421">
        <v>-24118.351420000003</v>
      </c>
      <c r="T79" s="421">
        <v>-178.91892000000001</v>
      </c>
      <c r="U79" s="421">
        <v>0</v>
      </c>
    </row>
    <row r="80" spans="1:21">
      <c r="G80" s="253"/>
      <c r="N80" s="250"/>
      <c r="R80" s="250"/>
    </row>
    <row r="81" spans="1:21">
      <c r="A81" s="279"/>
      <c r="B81" s="280"/>
      <c r="C81" s="280"/>
      <c r="D81" s="280"/>
      <c r="E81" s="280"/>
      <c r="F81" s="280"/>
      <c r="G81" s="281">
        <v>-1</v>
      </c>
      <c r="H81" s="893" t="str">
        <f>+I15</f>
        <v>Other commissions and fees</v>
      </c>
      <c r="I81" s="893"/>
      <c r="J81" s="893"/>
      <c r="K81" s="893"/>
      <c r="L81" s="893"/>
      <c r="M81" s="893"/>
      <c r="N81" s="282">
        <f t="shared" ref="N81:U81" si="47">+SUM(N82:N83)</f>
        <v>-9477.4165986872849</v>
      </c>
      <c r="O81" s="281">
        <f t="shared" si="47"/>
        <v>-10970.242599385203</v>
      </c>
      <c r="P81" s="281">
        <f t="shared" si="47"/>
        <v>-10146.016188085216</v>
      </c>
      <c r="Q81" s="281">
        <f t="shared" si="47"/>
        <v>-10326.106000811344</v>
      </c>
      <c r="R81" s="282">
        <f t="shared" si="47"/>
        <v>-9401.1655825653579</v>
      </c>
      <c r="S81" s="420">
        <f t="shared" si="47"/>
        <v>-11384.642924148931</v>
      </c>
      <c r="T81" s="420">
        <f t="shared" si="47"/>
        <v>-1157.5361191813015</v>
      </c>
      <c r="U81" s="420">
        <f t="shared" si="47"/>
        <v>0</v>
      </c>
    </row>
    <row r="82" spans="1:21">
      <c r="A82" s="283" t="s">
        <v>52</v>
      </c>
      <c r="B82" s="283" t="s">
        <v>50</v>
      </c>
      <c r="C82" s="283" t="s">
        <v>61</v>
      </c>
      <c r="D82" s="283" t="s">
        <v>125</v>
      </c>
      <c r="E82" s="283" t="s">
        <v>129</v>
      </c>
      <c r="F82" s="283"/>
      <c r="G82" s="284">
        <v>-1</v>
      </c>
      <c r="H82" s="894"/>
      <c r="I82" s="145" t="str">
        <f>+RIGHT(D82,LEN(D82)-5)</f>
        <v>Other Distributive Revenue</v>
      </c>
      <c r="J82" s="145"/>
      <c r="K82" s="145"/>
      <c r="L82" s="145"/>
      <c r="M82" s="145"/>
      <c r="N82" s="285">
        <v>-9477.4165986872849</v>
      </c>
      <c r="O82" s="284">
        <v>-10970.242599385203</v>
      </c>
      <c r="P82" s="284">
        <v>-10146.016188085216</v>
      </c>
      <c r="Q82" s="284">
        <v>-10326.106000811344</v>
      </c>
      <c r="R82" s="285">
        <v>-9401.1655825653579</v>
      </c>
      <c r="S82" s="421">
        <v>-11384.642924148931</v>
      </c>
      <c r="T82" s="421">
        <v>-1157.5361191813015</v>
      </c>
      <c r="U82" s="421">
        <v>0</v>
      </c>
    </row>
    <row r="83" spans="1:21">
      <c r="G83" s="253"/>
      <c r="N83" s="250"/>
      <c r="R83" s="250"/>
    </row>
    <row r="84" spans="1:21">
      <c r="A84" s="279"/>
      <c r="B84" s="280"/>
      <c r="C84" s="280"/>
      <c r="D84" s="280"/>
      <c r="E84" s="280"/>
      <c r="F84" s="280"/>
      <c r="G84" s="281">
        <v>-1</v>
      </c>
      <c r="H84" s="893" t="str">
        <f>+H16</f>
        <v>Investment (losses) gains</v>
      </c>
      <c r="I84" s="893"/>
      <c r="J84" s="893"/>
      <c r="K84" s="893"/>
      <c r="L84" s="893"/>
      <c r="M84" s="893"/>
      <c r="N84" s="282">
        <f t="shared" ref="N84:U84" si="48">+SUM(N85:N86)</f>
        <v>-756.85824000000002</v>
      </c>
      <c r="O84" s="281">
        <f t="shared" si="48"/>
        <v>2865.960541993572</v>
      </c>
      <c r="P84" s="281">
        <f t="shared" si="48"/>
        <v>-652.12741000000005</v>
      </c>
      <c r="Q84" s="281">
        <f t="shared" si="48"/>
        <v>-640.90015933123004</v>
      </c>
      <c r="R84" s="282">
        <f t="shared" si="48"/>
        <v>-395.75826999999998</v>
      </c>
      <c r="S84" s="420">
        <f t="shared" si="48"/>
        <v>-1690.7668738471536</v>
      </c>
      <c r="T84" s="420">
        <f t="shared" si="48"/>
        <v>0</v>
      </c>
      <c r="U84" s="420">
        <f t="shared" si="48"/>
        <v>0</v>
      </c>
    </row>
    <row r="85" spans="1:21">
      <c r="A85" s="283" t="s">
        <v>52</v>
      </c>
      <c r="B85" s="283" t="s">
        <v>50</v>
      </c>
      <c r="C85" s="283" t="s">
        <v>61</v>
      </c>
      <c r="D85" s="283" t="s">
        <v>126</v>
      </c>
      <c r="E85" s="283" t="s">
        <v>129</v>
      </c>
      <c r="F85" s="283"/>
      <c r="G85" s="284">
        <v>-1</v>
      </c>
      <c r="H85" s="894"/>
      <c r="I85" s="145" t="str">
        <f>+RIGHT(D85,LEN(D85)-5)</f>
        <v>Investment Gains (Losses)</v>
      </c>
      <c r="J85" s="145"/>
      <c r="K85" s="145"/>
      <c r="L85" s="145"/>
      <c r="M85" s="145"/>
      <c r="N85" s="285">
        <v>-756.85824000000002</v>
      </c>
      <c r="O85" s="284">
        <v>2865.960541993572</v>
      </c>
      <c r="P85" s="284">
        <v>-652.12741000000005</v>
      </c>
      <c r="Q85" s="284">
        <v>-640.90015933123004</v>
      </c>
      <c r="R85" s="285">
        <v>-395.75826999999998</v>
      </c>
      <c r="S85" s="421">
        <v>-1690.7668738471536</v>
      </c>
      <c r="T85" s="421">
        <v>0</v>
      </c>
      <c r="U85" s="421">
        <v>0</v>
      </c>
    </row>
    <row r="86" spans="1:21">
      <c r="G86" s="253"/>
      <c r="N86" s="250"/>
      <c r="R86" s="250"/>
    </row>
    <row r="87" spans="1:21">
      <c r="A87" s="279"/>
      <c r="B87" s="280"/>
      <c r="C87" s="280"/>
      <c r="D87" s="280"/>
      <c r="E87" s="280"/>
      <c r="F87" s="280"/>
      <c r="G87" s="281">
        <v>-1</v>
      </c>
      <c r="H87" s="893" t="str">
        <f>+H17</f>
        <v>Other, net</v>
      </c>
      <c r="I87" s="893"/>
      <c r="J87" s="893"/>
      <c r="K87" s="893"/>
      <c r="L87" s="893"/>
      <c r="M87" s="893"/>
      <c r="N87" s="282">
        <f t="shared" ref="N87:U87" si="49">+SUM(N88:N89)</f>
        <v>-17135.085172350016</v>
      </c>
      <c r="O87" s="281">
        <f t="shared" si="49"/>
        <v>-16394.237594774455</v>
      </c>
      <c r="P87" s="281">
        <f t="shared" si="49"/>
        <v>-16732.038318170824</v>
      </c>
      <c r="Q87" s="281">
        <f t="shared" si="49"/>
        <v>-15347.373763056836</v>
      </c>
      <c r="R87" s="282">
        <f t="shared" si="49"/>
        <v>-15885.966681338579</v>
      </c>
      <c r="S87" s="420">
        <f t="shared" si="49"/>
        <v>-15553.918169481836</v>
      </c>
      <c r="T87" s="420">
        <f t="shared" si="49"/>
        <v>-3738.7092681221511</v>
      </c>
      <c r="U87" s="420">
        <f t="shared" si="49"/>
        <v>0</v>
      </c>
    </row>
    <row r="88" spans="1:21">
      <c r="A88" s="283" t="s">
        <v>52</v>
      </c>
      <c r="B88" s="283" t="s">
        <v>50</v>
      </c>
      <c r="C88" s="283" t="s">
        <v>61</v>
      </c>
      <c r="D88" s="283" t="s">
        <v>127</v>
      </c>
      <c r="E88" s="283" t="s">
        <v>129</v>
      </c>
      <c r="F88" s="283"/>
      <c r="G88" s="284">
        <v>-1</v>
      </c>
      <c r="H88" s="894"/>
      <c r="I88" s="145" t="str">
        <f>+RIGHT(D88,LEN(D88)-5)</f>
        <v>Other Income</v>
      </c>
      <c r="J88" s="145"/>
      <c r="K88" s="145"/>
      <c r="L88" s="145"/>
      <c r="M88" s="145"/>
      <c r="N88" s="285">
        <v>-17135.085172350016</v>
      </c>
      <c r="O88" s="284">
        <v>-16394.237594774455</v>
      </c>
      <c r="P88" s="284">
        <v>-16732.038318170824</v>
      </c>
      <c r="Q88" s="284">
        <v>-15347.373763056836</v>
      </c>
      <c r="R88" s="285">
        <v>-15885.966681338579</v>
      </c>
      <c r="S88" s="421">
        <v>-15553.918169481836</v>
      </c>
      <c r="T88" s="421">
        <v>-3738.7092681221511</v>
      </c>
      <c r="U88" s="421">
        <v>0</v>
      </c>
    </row>
    <row r="89" spans="1:21">
      <c r="G89" s="253"/>
      <c r="N89" s="250"/>
      <c r="R89" s="250"/>
    </row>
    <row r="90" spans="1:21">
      <c r="G90" s="253"/>
      <c r="N90" s="250"/>
      <c r="R90" s="250"/>
    </row>
    <row r="91" spans="1:21">
      <c r="A91" s="279"/>
      <c r="B91" s="280"/>
      <c r="C91" s="280"/>
      <c r="D91" s="280"/>
      <c r="E91" s="280"/>
      <c r="F91" s="280"/>
      <c r="G91" s="281">
        <v>-1</v>
      </c>
      <c r="H91" s="893" t="str">
        <f>+J31</f>
        <v>Total benefits and expenses</v>
      </c>
      <c r="I91" s="893"/>
      <c r="J91" s="893"/>
      <c r="K91" s="893"/>
      <c r="L91" s="893"/>
      <c r="M91" s="893"/>
      <c r="N91" s="282">
        <f t="shared" ref="N91:U91" si="50">+N31</f>
        <v>583528.0790327721</v>
      </c>
      <c r="O91" s="281">
        <f t="shared" si="50"/>
        <v>558837.54113783967</v>
      </c>
      <c r="P91" s="281">
        <f t="shared" si="50"/>
        <v>568173.21941771533</v>
      </c>
      <c r="Q91" s="281">
        <f t="shared" si="50"/>
        <v>606609.31675255171</v>
      </c>
      <c r="R91" s="282">
        <f t="shared" si="50"/>
        <v>623274.82244963024</v>
      </c>
      <c r="S91" s="420">
        <f t="shared" si="50"/>
        <v>606847.19171575876</v>
      </c>
      <c r="T91" s="420">
        <f t="shared" si="50"/>
        <v>0</v>
      </c>
      <c r="U91" s="420">
        <f t="shared" si="50"/>
        <v>0</v>
      </c>
    </row>
    <row r="92" spans="1:21">
      <c r="A92" s="283" t="s">
        <v>52</v>
      </c>
      <c r="B92" s="283" t="s">
        <v>50</v>
      </c>
      <c r="C92" s="283" t="s">
        <v>61</v>
      </c>
      <c r="D92" s="283" t="s">
        <v>130</v>
      </c>
      <c r="E92" s="283" t="s">
        <v>129</v>
      </c>
      <c r="F92" s="283"/>
      <c r="G92" s="284">
        <v>-1</v>
      </c>
      <c r="H92" s="894"/>
      <c r="I92" s="145" t="str">
        <f>+RIGHT(D92,LEN(D92)-5)</f>
        <v>Benefits and Expenses</v>
      </c>
      <c r="J92" s="145"/>
      <c r="K92" s="145"/>
      <c r="L92" s="145"/>
      <c r="M92" s="145"/>
      <c r="N92" s="285">
        <v>583528.07903277199</v>
      </c>
      <c r="O92" s="284">
        <v>558837.54113783967</v>
      </c>
      <c r="P92" s="284">
        <v>568173.21941771533</v>
      </c>
      <c r="Q92" s="284">
        <v>606609.31675255171</v>
      </c>
      <c r="R92" s="285">
        <v>623274.82244963013</v>
      </c>
      <c r="S92" s="421">
        <v>606847.19171575888</v>
      </c>
      <c r="T92" s="421">
        <v>-1070581.8477332306</v>
      </c>
      <c r="U92" s="421">
        <v>0</v>
      </c>
    </row>
    <row r="93" spans="1:21" ht="14.4" thickBot="1">
      <c r="G93" s="253"/>
      <c r="I93" s="895" t="s">
        <v>146</v>
      </c>
      <c r="J93" s="895"/>
      <c r="K93" s="895"/>
      <c r="L93" s="895"/>
      <c r="M93" s="895"/>
      <c r="N93" s="289">
        <f t="shared" ref="N93:U93" si="51">+N91-N92</f>
        <v>0</v>
      </c>
      <c r="O93" s="288">
        <f t="shared" si="51"/>
        <v>0</v>
      </c>
      <c r="P93" s="288">
        <f t="shared" si="51"/>
        <v>0</v>
      </c>
      <c r="Q93" s="288">
        <f t="shared" si="51"/>
        <v>0</v>
      </c>
      <c r="R93" s="289">
        <f t="shared" si="51"/>
        <v>0</v>
      </c>
      <c r="S93" s="422">
        <f t="shared" si="51"/>
        <v>0</v>
      </c>
      <c r="T93" s="422">
        <f t="shared" si="51"/>
        <v>1070581.8477332306</v>
      </c>
      <c r="U93" s="422">
        <f t="shared" si="51"/>
        <v>0</v>
      </c>
    </row>
    <row r="94" spans="1:21" ht="14.4" thickTop="1">
      <c r="G94" s="253"/>
      <c r="N94" s="250"/>
      <c r="R94" s="250"/>
    </row>
    <row r="95" spans="1:21">
      <c r="A95" s="279"/>
      <c r="B95" s="280"/>
      <c r="C95" s="280"/>
      <c r="D95" s="280"/>
      <c r="E95" s="280"/>
      <c r="F95" s="280"/>
      <c r="G95" s="281">
        <v>1</v>
      </c>
      <c r="H95" s="893" t="str">
        <f>+H20</f>
        <v>Benefits and claims</v>
      </c>
      <c r="I95" s="893"/>
      <c r="J95" s="893"/>
      <c r="K95" s="893"/>
      <c r="L95" s="893"/>
      <c r="M95" s="893"/>
      <c r="N95" s="282">
        <f t="shared" ref="N95:U95" si="52">+SUM(N96:N97)</f>
        <v>174861.52676002021</v>
      </c>
      <c r="O95" s="281">
        <f t="shared" si="52"/>
        <v>152493.93637226263</v>
      </c>
      <c r="P95" s="281">
        <f t="shared" si="52"/>
        <v>172151.94511621157</v>
      </c>
      <c r="Q95" s="281">
        <f t="shared" si="52"/>
        <v>166419.61864023446</v>
      </c>
      <c r="R95" s="282">
        <f t="shared" si="52"/>
        <v>171253.95028908396</v>
      </c>
      <c r="S95" s="420">
        <f t="shared" si="52"/>
        <v>147327.69438687334</v>
      </c>
      <c r="T95" s="420">
        <f t="shared" si="52"/>
        <v>-5107390.0023844931</v>
      </c>
      <c r="U95" s="420">
        <f t="shared" si="52"/>
        <v>0</v>
      </c>
    </row>
    <row r="96" spans="1:21">
      <c r="A96" s="283" t="s">
        <v>52</v>
      </c>
      <c r="B96" s="283" t="s">
        <v>50</v>
      </c>
      <c r="C96" s="283" t="s">
        <v>61</v>
      </c>
      <c r="D96" s="283" t="s">
        <v>128</v>
      </c>
      <c r="E96" s="283" t="s">
        <v>129</v>
      </c>
      <c r="F96" s="283"/>
      <c r="G96" s="284">
        <v>1</v>
      </c>
      <c r="H96" s="894"/>
      <c r="I96" s="145" t="str">
        <f>+RIGHT(D96,LEN(D96)-5)</f>
        <v>Benefits and Claims</v>
      </c>
      <c r="J96" s="145"/>
      <c r="K96" s="145"/>
      <c r="L96" s="145"/>
      <c r="M96" s="145"/>
      <c r="N96" s="285">
        <v>174861.52676002021</v>
      </c>
      <c r="O96" s="284">
        <v>152493.93637226263</v>
      </c>
      <c r="P96" s="284">
        <v>172151.94511621157</v>
      </c>
      <c r="Q96" s="284">
        <v>166419.61864023446</v>
      </c>
      <c r="R96" s="285">
        <v>171253.95028908396</v>
      </c>
      <c r="S96" s="421">
        <v>147327.69438687334</v>
      </c>
      <c r="T96" s="421">
        <v>-5107390.0023844931</v>
      </c>
      <c r="U96" s="421">
        <v>0</v>
      </c>
    </row>
    <row r="97" spans="1:21">
      <c r="G97" s="253"/>
      <c r="N97" s="250"/>
      <c r="R97" s="250"/>
    </row>
    <row r="98" spans="1:21">
      <c r="A98" s="279"/>
      <c r="B98" s="280"/>
      <c r="C98" s="280"/>
      <c r="D98" s="280"/>
      <c r="E98" s="280"/>
      <c r="F98" s="280"/>
      <c r="G98" s="281">
        <v>1</v>
      </c>
      <c r="H98" s="893" t="str">
        <f>+H21</f>
        <v>Future policy benefits remeasurement (gain)/loss</v>
      </c>
      <c r="I98" s="893"/>
      <c r="J98" s="893"/>
      <c r="K98" s="893"/>
      <c r="L98" s="893"/>
      <c r="M98" s="893"/>
      <c r="N98" s="282">
        <f t="shared" ref="N98:U98" si="53">+SUM(N99:N100)</f>
        <v>-3273.47445253755</v>
      </c>
      <c r="O98" s="281">
        <f t="shared" si="53"/>
        <v>-5894.9472067112201</v>
      </c>
      <c r="P98" s="281">
        <f t="shared" si="53"/>
        <v>-23113.5901253302</v>
      </c>
      <c r="Q98" s="281">
        <f t="shared" si="53"/>
        <v>-5107.2661335046505</v>
      </c>
      <c r="R98" s="282">
        <f t="shared" si="53"/>
        <v>-7377.0713304818701</v>
      </c>
      <c r="S98" s="420">
        <f t="shared" si="53"/>
        <v>-5037.9300177068499</v>
      </c>
      <c r="T98" s="420">
        <f t="shared" si="53"/>
        <v>12396.122455696601</v>
      </c>
      <c r="U98" s="420">
        <f t="shared" si="53"/>
        <v>0</v>
      </c>
    </row>
    <row r="99" spans="1:21">
      <c r="A99" s="283" t="s">
        <v>52</v>
      </c>
      <c r="B99" s="283" t="s">
        <v>50</v>
      </c>
      <c r="C99" s="283" t="s">
        <v>61</v>
      </c>
      <c r="D99" s="283" t="s">
        <v>715</v>
      </c>
      <c r="E99" s="283" t="s">
        <v>129</v>
      </c>
      <c r="F99" s="283"/>
      <c r="G99" s="284"/>
      <c r="H99" s="894"/>
      <c r="I99" s="145"/>
      <c r="J99" s="145"/>
      <c r="K99" s="145"/>
      <c r="L99" s="145"/>
      <c r="M99" s="145"/>
      <c r="N99" s="285">
        <v>-3273.47445253755</v>
      </c>
      <c r="O99" s="284">
        <v>-5894.9472067112201</v>
      </c>
      <c r="P99" s="284">
        <v>-23113.5901253302</v>
      </c>
      <c r="Q99" s="284">
        <v>-5107.2661335046505</v>
      </c>
      <c r="R99" s="285">
        <v>-7377.0713304818701</v>
      </c>
      <c r="S99" s="421">
        <v>-5037.9300177068499</v>
      </c>
      <c r="T99" s="421">
        <v>12396.122455696601</v>
      </c>
      <c r="U99" s="421">
        <v>0</v>
      </c>
    </row>
    <row r="100" spans="1:21">
      <c r="G100" s="253"/>
      <c r="N100" s="250"/>
      <c r="R100" s="250"/>
    </row>
    <row r="101" spans="1:21">
      <c r="A101" s="279"/>
      <c r="B101" s="280"/>
      <c r="C101" s="280"/>
      <c r="D101" s="280"/>
      <c r="E101" s="280"/>
      <c r="F101" s="280"/>
      <c r="G101" s="281">
        <v>1</v>
      </c>
      <c r="H101" s="893" t="str">
        <f>+H22</f>
        <v>Amortization of DAC</v>
      </c>
      <c r="I101" s="893"/>
      <c r="J101" s="893"/>
      <c r="K101" s="893"/>
      <c r="L101" s="893"/>
      <c r="M101" s="893"/>
      <c r="N101" s="282">
        <f t="shared" ref="N101:U101" si="54">+SUM(N102:N103)</f>
        <v>78549.789340624906</v>
      </c>
      <c r="O101" s="281">
        <f t="shared" si="54"/>
        <v>80042.501979026725</v>
      </c>
      <c r="P101" s="281">
        <f t="shared" si="54"/>
        <v>81498.409397386655</v>
      </c>
      <c r="Q101" s="281">
        <f t="shared" si="54"/>
        <v>82812.586776335927</v>
      </c>
      <c r="R101" s="282">
        <f t="shared" si="54"/>
        <v>84259.913227622907</v>
      </c>
      <c r="S101" s="420">
        <f t="shared" si="54"/>
        <v>85127.761220652726</v>
      </c>
      <c r="T101" s="420">
        <f t="shared" si="54"/>
        <v>3739181.875943149</v>
      </c>
      <c r="U101" s="420">
        <f t="shared" si="54"/>
        <v>0</v>
      </c>
    </row>
    <row r="102" spans="1:21">
      <c r="A102" s="283" t="s">
        <v>52</v>
      </c>
      <c r="B102" s="283" t="s">
        <v>50</v>
      </c>
      <c r="C102" s="283" t="s">
        <v>61</v>
      </c>
      <c r="D102" s="283" t="s">
        <v>91</v>
      </c>
      <c r="E102" s="283" t="s">
        <v>129</v>
      </c>
      <c r="F102" s="283"/>
      <c r="G102" s="284">
        <v>1</v>
      </c>
      <c r="H102" s="894"/>
      <c r="I102" s="145" t="str">
        <f>+RIGHT(D102,LEN(D102)-5)</f>
        <v>Amortization of DAC</v>
      </c>
      <c r="J102" s="145"/>
      <c r="K102" s="145"/>
      <c r="L102" s="145"/>
      <c r="M102" s="145"/>
      <c r="N102" s="285">
        <v>78549.789340624906</v>
      </c>
      <c r="O102" s="284">
        <v>80042.501979026725</v>
      </c>
      <c r="P102" s="284">
        <v>81498.409397386655</v>
      </c>
      <c r="Q102" s="284">
        <v>82812.586776335927</v>
      </c>
      <c r="R102" s="285">
        <v>84259.913227622907</v>
      </c>
      <c r="S102" s="421">
        <v>85127.761220652726</v>
      </c>
      <c r="T102" s="421">
        <v>3739181.875943149</v>
      </c>
      <c r="U102" s="421">
        <v>0</v>
      </c>
    </row>
    <row r="103" spans="1:21">
      <c r="G103" s="253"/>
      <c r="N103" s="250"/>
      <c r="R103" s="250"/>
    </row>
    <row r="104" spans="1:21">
      <c r="A104" s="279"/>
      <c r="B104" s="280"/>
      <c r="C104" s="280"/>
      <c r="D104" s="280"/>
      <c r="E104" s="280"/>
      <c r="F104" s="280"/>
      <c r="G104" s="281">
        <v>1</v>
      </c>
      <c r="H104" s="893" t="str">
        <f>+H23</f>
        <v>Insurance commissions</v>
      </c>
      <c r="I104" s="893"/>
      <c r="J104" s="893"/>
      <c r="K104" s="893"/>
      <c r="L104" s="893"/>
      <c r="M104" s="893"/>
      <c r="N104" s="282">
        <f t="shared" ref="N104:U104" si="55">+SUM(N105:N106)</f>
        <v>6124.3443542581681</v>
      </c>
      <c r="O104" s="281">
        <f t="shared" si="55"/>
        <v>5750.7592203275526</v>
      </c>
      <c r="P104" s="281">
        <f t="shared" si="55"/>
        <v>5498.9310822240795</v>
      </c>
      <c r="Q104" s="281">
        <f t="shared" si="55"/>
        <v>5620.6002961892846</v>
      </c>
      <c r="R104" s="282">
        <f t="shared" si="55"/>
        <v>5618.0889327629393</v>
      </c>
      <c r="S104" s="420">
        <f t="shared" si="55"/>
        <v>5778.067037003505</v>
      </c>
      <c r="T104" s="420">
        <f t="shared" si="55"/>
        <v>254782.32362055901</v>
      </c>
      <c r="U104" s="420">
        <f t="shared" si="55"/>
        <v>0</v>
      </c>
    </row>
    <row r="105" spans="1:21">
      <c r="A105" s="283" t="s">
        <v>52</v>
      </c>
      <c r="B105" s="283" t="s">
        <v>50</v>
      </c>
      <c r="C105" s="283" t="s">
        <v>61</v>
      </c>
      <c r="D105" s="283" t="s">
        <v>132</v>
      </c>
      <c r="E105" s="283" t="s">
        <v>129</v>
      </c>
      <c r="F105" s="283"/>
      <c r="G105" s="284">
        <v>1</v>
      </c>
      <c r="H105" s="894"/>
      <c r="I105" s="145" t="str">
        <f>+RIGHT(D105,LEN(D105)-5)</f>
        <v>Insurance Commissions</v>
      </c>
      <c r="J105" s="145"/>
      <c r="K105" s="145"/>
      <c r="L105" s="145"/>
      <c r="M105" s="145"/>
      <c r="N105" s="285">
        <v>6124.3443542581681</v>
      </c>
      <c r="O105" s="284">
        <v>5750.7592203275526</v>
      </c>
      <c r="P105" s="284">
        <v>5498.9310822240795</v>
      </c>
      <c r="Q105" s="284">
        <v>5620.6002961892846</v>
      </c>
      <c r="R105" s="285">
        <v>5618.0889327629393</v>
      </c>
      <c r="S105" s="421">
        <v>5778.067037003505</v>
      </c>
      <c r="T105" s="421">
        <v>254782.32362055901</v>
      </c>
      <c r="U105" s="421">
        <v>0</v>
      </c>
    </row>
    <row r="106" spans="1:21">
      <c r="G106" s="253"/>
      <c r="N106" s="250"/>
      <c r="R106" s="250"/>
    </row>
    <row r="107" spans="1:21">
      <c r="A107" s="279"/>
      <c r="B107" s="280"/>
      <c r="C107" s="280"/>
      <c r="D107" s="280"/>
      <c r="E107" s="280"/>
      <c r="F107" s="280"/>
      <c r="G107" s="281">
        <v>1</v>
      </c>
      <c r="H107" s="893" t="str">
        <f>+H24</f>
        <v>Insurance expenses</v>
      </c>
      <c r="I107" s="893"/>
      <c r="J107" s="893"/>
      <c r="K107" s="893"/>
      <c r="L107" s="893"/>
      <c r="M107" s="893"/>
      <c r="N107" s="282">
        <f t="shared" ref="N107:U107" si="56">+SUM(N108:N110)</f>
        <v>64805.313003525123</v>
      </c>
      <c r="O107" s="281">
        <f t="shared" si="56"/>
        <v>64362.298569533828</v>
      </c>
      <c r="P107" s="281">
        <f t="shared" si="56"/>
        <v>64131.366915424936</v>
      </c>
      <c r="Q107" s="281">
        <f t="shared" si="56"/>
        <v>70167.688644185459</v>
      </c>
      <c r="R107" s="282">
        <f t="shared" si="56"/>
        <v>66567.365446860684</v>
      </c>
      <c r="S107" s="420">
        <f t="shared" si="56"/>
        <v>71159.110342559143</v>
      </c>
      <c r="T107" s="420">
        <f t="shared" si="56"/>
        <v>17308.155216413812</v>
      </c>
      <c r="U107" s="420">
        <f t="shared" si="56"/>
        <v>0</v>
      </c>
    </row>
    <row r="108" spans="1:21">
      <c r="A108" s="283" t="s">
        <v>218</v>
      </c>
      <c r="B108" s="283" t="s">
        <v>50</v>
      </c>
      <c r="C108" s="283" t="s">
        <v>61</v>
      </c>
      <c r="D108" s="283" t="s">
        <v>131</v>
      </c>
      <c r="E108" s="283" t="s">
        <v>133</v>
      </c>
      <c r="F108" s="283"/>
      <c r="G108" s="284">
        <v>1</v>
      </c>
      <c r="H108" s="894"/>
      <c r="I108" s="145" t="str">
        <f>+RIGHT(D108,LEN(D108)-5)</f>
        <v>General Expenses Net of Allowances</v>
      </c>
      <c r="J108" s="145"/>
      <c r="K108" s="145"/>
      <c r="L108" s="145"/>
      <c r="M108" s="145"/>
      <c r="N108" s="285">
        <v>63645.157193525127</v>
      </c>
      <c r="O108" s="284">
        <v>63215.720029533826</v>
      </c>
      <c r="P108" s="284">
        <v>63057.811125424938</v>
      </c>
      <c r="Q108" s="284">
        <v>68965.995964185466</v>
      </c>
      <c r="R108" s="285">
        <v>65378.053446860686</v>
      </c>
      <c r="S108" s="421">
        <v>70020.46758255914</v>
      </c>
      <c r="T108" s="421">
        <v>17308.155216413812</v>
      </c>
      <c r="U108" s="421">
        <v>0</v>
      </c>
    </row>
    <row r="109" spans="1:21">
      <c r="A109" s="283" t="s">
        <v>218</v>
      </c>
      <c r="B109" s="283" t="s">
        <v>50</v>
      </c>
      <c r="C109" s="283" t="s">
        <v>61</v>
      </c>
      <c r="D109" s="283" t="s">
        <v>131</v>
      </c>
      <c r="E109" s="283" t="s">
        <v>134</v>
      </c>
      <c r="F109" s="283"/>
      <c r="G109" s="284">
        <v>1</v>
      </c>
      <c r="H109" s="894"/>
      <c r="I109" s="145"/>
      <c r="J109" s="145"/>
      <c r="K109" s="145"/>
      <c r="L109" s="145"/>
      <c r="M109" s="145"/>
      <c r="N109" s="285">
        <v>1160.15581</v>
      </c>
      <c r="O109" s="284">
        <v>1146.57854</v>
      </c>
      <c r="P109" s="284">
        <v>1073.5557899999999</v>
      </c>
      <c r="Q109" s="284">
        <v>1201.6926800000001</v>
      </c>
      <c r="R109" s="285">
        <v>1189.3119999999999</v>
      </c>
      <c r="S109" s="421">
        <v>1138.64276</v>
      </c>
      <c r="T109" s="421">
        <v>0</v>
      </c>
      <c r="U109" s="421">
        <v>0</v>
      </c>
    </row>
    <row r="110" spans="1:21">
      <c r="G110" s="253"/>
      <c r="N110" s="250"/>
      <c r="R110" s="250"/>
    </row>
    <row r="111" spans="1:21">
      <c r="A111" s="279"/>
      <c r="B111" s="280"/>
      <c r="C111" s="280"/>
      <c r="D111" s="280"/>
      <c r="E111" s="280"/>
      <c r="F111" s="280"/>
      <c r="G111" s="281">
        <v>1</v>
      </c>
      <c r="H111" s="893" t="str">
        <f>+I26</f>
        <v>Sales-based (1)</v>
      </c>
      <c r="I111" s="893"/>
      <c r="J111" s="893"/>
      <c r="K111" s="893"/>
      <c r="L111" s="893"/>
      <c r="M111" s="893"/>
      <c r="N111" s="282">
        <f t="shared" ref="N111:U111" si="57">+SUM(N112:N113)</f>
        <v>77266.531494286857</v>
      </c>
      <c r="O111" s="281">
        <f t="shared" si="57"/>
        <v>82935.441205120776</v>
      </c>
      <c r="P111" s="281">
        <f t="shared" si="57"/>
        <v>82866.96761402837</v>
      </c>
      <c r="Q111" s="281">
        <f t="shared" si="57"/>
        <v>89561.303025591013</v>
      </c>
      <c r="R111" s="282">
        <f t="shared" si="57"/>
        <v>95167.699535514621</v>
      </c>
      <c r="S111" s="420">
        <f t="shared" si="57"/>
        <v>95815.970654571458</v>
      </c>
      <c r="T111" s="420">
        <f t="shared" si="57"/>
        <v>11291.469355752575</v>
      </c>
      <c r="U111" s="420">
        <f t="shared" si="57"/>
        <v>0</v>
      </c>
    </row>
    <row r="112" spans="1:21">
      <c r="A112" s="283" t="s">
        <v>52</v>
      </c>
      <c r="B112" s="283" t="s">
        <v>50</v>
      </c>
      <c r="C112" s="283" t="s">
        <v>61</v>
      </c>
      <c r="D112" s="283" t="s">
        <v>135</v>
      </c>
      <c r="E112" s="283" t="s">
        <v>129</v>
      </c>
      <c r="F112" s="283"/>
      <c r="G112" s="284">
        <v>1</v>
      </c>
      <c r="H112" s="894"/>
      <c r="I112" s="145" t="str">
        <f>+RIGHT(D112,LEN(D112)-5)</f>
        <v>Sales Based Expense</v>
      </c>
      <c r="J112" s="145"/>
      <c r="K112" s="145"/>
      <c r="L112" s="145"/>
      <c r="M112" s="145"/>
      <c r="N112" s="285">
        <v>77266.531494286857</v>
      </c>
      <c r="O112" s="284">
        <v>82935.441205120776</v>
      </c>
      <c r="P112" s="284">
        <v>82866.96761402837</v>
      </c>
      <c r="Q112" s="284">
        <v>89561.303025591013</v>
      </c>
      <c r="R112" s="285">
        <v>95167.699535514621</v>
      </c>
      <c r="S112" s="421">
        <v>95815.970654571458</v>
      </c>
      <c r="T112" s="421">
        <v>11291.469355752575</v>
      </c>
      <c r="U112" s="421">
        <v>0</v>
      </c>
    </row>
    <row r="113" spans="1:21">
      <c r="G113" s="253"/>
      <c r="N113" s="250"/>
      <c r="R113" s="250"/>
    </row>
    <row r="114" spans="1:21">
      <c r="A114" s="279"/>
      <c r="B114" s="280"/>
      <c r="C114" s="280"/>
      <c r="D114" s="280"/>
      <c r="E114" s="280"/>
      <c r="F114" s="280"/>
      <c r="G114" s="281">
        <v>1</v>
      </c>
      <c r="H114" s="893" t="str">
        <f>+I27</f>
        <v>Asset-based (2)</v>
      </c>
      <c r="I114" s="893"/>
      <c r="J114" s="893"/>
      <c r="K114" s="893"/>
      <c r="L114" s="893"/>
      <c r="M114" s="893"/>
      <c r="N114" s="282">
        <f t="shared" ref="N114:U114" si="58">+SUM(N115:N116)</f>
        <v>76246.475838191138</v>
      </c>
      <c r="O114" s="281">
        <f t="shared" si="58"/>
        <v>78009.898153455579</v>
      </c>
      <c r="P114" s="281">
        <f t="shared" si="58"/>
        <v>87336.79984091912</v>
      </c>
      <c r="Q114" s="281">
        <f t="shared" si="58"/>
        <v>93247.031850916566</v>
      </c>
      <c r="R114" s="282">
        <f t="shared" si="58"/>
        <v>95359.994288721195</v>
      </c>
      <c r="S114" s="420">
        <f t="shared" si="58"/>
        <v>100677.2724867955</v>
      </c>
      <c r="T114" s="420">
        <f t="shared" si="58"/>
        <v>-4529.5988552035524</v>
      </c>
      <c r="U114" s="420">
        <f t="shared" si="58"/>
        <v>0</v>
      </c>
    </row>
    <row r="115" spans="1:21">
      <c r="A115" s="283" t="s">
        <v>52</v>
      </c>
      <c r="B115" s="283" t="s">
        <v>50</v>
      </c>
      <c r="C115" s="283" t="s">
        <v>61</v>
      </c>
      <c r="D115" s="283" t="s">
        <v>136</v>
      </c>
      <c r="E115" s="283" t="s">
        <v>129</v>
      </c>
      <c r="F115" s="283"/>
      <c r="G115" s="284">
        <v>1</v>
      </c>
      <c r="H115" s="894"/>
      <c r="I115" s="145" t="str">
        <f>+RIGHT(D115,LEN(D115)-5)</f>
        <v>Asset Based Expense</v>
      </c>
      <c r="J115" s="145"/>
      <c r="K115" s="145"/>
      <c r="L115" s="145"/>
      <c r="M115" s="145"/>
      <c r="N115" s="285">
        <v>76246.475838191138</v>
      </c>
      <c r="O115" s="284">
        <v>78009.898153455579</v>
      </c>
      <c r="P115" s="284">
        <v>87336.79984091912</v>
      </c>
      <c r="Q115" s="284">
        <v>93247.031850916566</v>
      </c>
      <c r="R115" s="285">
        <v>95359.994288721195</v>
      </c>
      <c r="S115" s="421">
        <v>100677.2724867955</v>
      </c>
      <c r="T115" s="421">
        <v>-4529.5988552035524</v>
      </c>
      <c r="U115" s="421">
        <v>0</v>
      </c>
    </row>
    <row r="116" spans="1:21">
      <c r="G116" s="253"/>
      <c r="N116" s="250"/>
      <c r="R116" s="250"/>
    </row>
    <row r="117" spans="1:21">
      <c r="A117" s="279"/>
      <c r="B117" s="280"/>
      <c r="C117" s="280"/>
      <c r="D117" s="280"/>
      <c r="E117" s="280"/>
      <c r="F117" s="280"/>
      <c r="G117" s="281">
        <v>1</v>
      </c>
      <c r="H117" s="893" t="str">
        <f>+I28</f>
        <v>Other sales commissions</v>
      </c>
      <c r="I117" s="893"/>
      <c r="J117" s="893"/>
      <c r="K117" s="893"/>
      <c r="L117" s="893"/>
      <c r="M117" s="893"/>
      <c r="N117" s="282">
        <f t="shared" ref="N117:U117" si="59">+SUM(N118:N119)</f>
        <v>4605.062338484252</v>
      </c>
      <c r="O117" s="281">
        <f t="shared" si="59"/>
        <v>5345.7609297087956</v>
      </c>
      <c r="P117" s="281">
        <f t="shared" si="59"/>
        <v>4483.9523753304311</v>
      </c>
      <c r="Q117" s="281">
        <f t="shared" si="59"/>
        <v>5015.0948302248753</v>
      </c>
      <c r="R117" s="282">
        <f t="shared" si="59"/>
        <v>4682.4690325908277</v>
      </c>
      <c r="S117" s="420">
        <f t="shared" si="59"/>
        <v>5430.7511267809004</v>
      </c>
      <c r="T117" s="420">
        <f t="shared" si="59"/>
        <v>893.67936470185805</v>
      </c>
      <c r="U117" s="420">
        <f t="shared" si="59"/>
        <v>0</v>
      </c>
    </row>
    <row r="118" spans="1:21">
      <c r="A118" s="283" t="s">
        <v>52</v>
      </c>
      <c r="B118" s="283" t="s">
        <v>50</v>
      </c>
      <c r="C118" s="283" t="s">
        <v>61</v>
      </c>
      <c r="D118" s="283" t="s">
        <v>137</v>
      </c>
      <c r="E118" s="283" t="s">
        <v>129</v>
      </c>
      <c r="F118" s="283"/>
      <c r="G118" s="284">
        <v>1</v>
      </c>
      <c r="H118" s="894"/>
      <c r="I118" s="145" t="str">
        <f>+RIGHT(D118,LEN(D118)-5)</f>
        <v>Corporate &amp; Other Product Expense</v>
      </c>
      <c r="J118" s="145"/>
      <c r="K118" s="145"/>
      <c r="L118" s="145"/>
      <c r="M118" s="145"/>
      <c r="N118" s="285">
        <v>4605.062338484252</v>
      </c>
      <c r="O118" s="284">
        <v>5345.7609297087956</v>
      </c>
      <c r="P118" s="284">
        <v>4483.9523753304311</v>
      </c>
      <c r="Q118" s="284">
        <v>5015.0948302248753</v>
      </c>
      <c r="R118" s="285">
        <v>4682.4690325908277</v>
      </c>
      <c r="S118" s="421">
        <v>5430.7511267809004</v>
      </c>
      <c r="T118" s="421">
        <v>893.67936470185805</v>
      </c>
      <c r="U118" s="421">
        <v>0</v>
      </c>
    </row>
    <row r="119" spans="1:21">
      <c r="G119" s="253"/>
      <c r="N119" s="250"/>
      <c r="R119" s="250"/>
    </row>
    <row r="120" spans="1:21">
      <c r="A120" s="279"/>
      <c r="B120" s="280"/>
      <c r="C120" s="280"/>
      <c r="D120" s="280"/>
      <c r="E120" s="280"/>
      <c r="F120" s="280"/>
      <c r="G120" s="281">
        <v>1</v>
      </c>
      <c r="H120" s="893" t="str">
        <f>+H29</f>
        <v>Interest expense</v>
      </c>
      <c r="I120" s="893"/>
      <c r="J120" s="893"/>
      <c r="K120" s="893"/>
      <c r="L120" s="893"/>
      <c r="M120" s="893"/>
      <c r="N120" s="282">
        <f t="shared" ref="N120:U120" si="60">+SUM(N121:N122)</f>
        <v>6004.2563882221975</v>
      </c>
      <c r="O120" s="281">
        <f t="shared" si="60"/>
        <v>6000.2477840515021</v>
      </c>
      <c r="P120" s="281">
        <f t="shared" si="60"/>
        <v>5985.0950601618097</v>
      </c>
      <c r="Q120" s="281">
        <f t="shared" si="60"/>
        <v>5968.3137143923896</v>
      </c>
      <c r="R120" s="282">
        <f t="shared" si="60"/>
        <v>5860.5572296830705</v>
      </c>
      <c r="S120" s="420">
        <f t="shared" si="60"/>
        <v>5832.6161948528934</v>
      </c>
      <c r="T120" s="420">
        <f t="shared" si="60"/>
        <v>-0.55556000000000005</v>
      </c>
      <c r="U120" s="420">
        <f t="shared" si="60"/>
        <v>0</v>
      </c>
    </row>
    <row r="121" spans="1:21">
      <c r="A121" s="283" t="s">
        <v>52</v>
      </c>
      <c r="B121" s="283" t="s">
        <v>50</v>
      </c>
      <c r="C121" s="283" t="s">
        <v>61</v>
      </c>
      <c r="D121" s="283" t="s">
        <v>138</v>
      </c>
      <c r="E121" s="283" t="s">
        <v>129</v>
      </c>
      <c r="F121" s="283"/>
      <c r="G121" s="284">
        <v>1</v>
      </c>
      <c r="H121" s="894"/>
      <c r="I121" s="145" t="str">
        <f>+RIGHT(D121,LEN(D121)-5)</f>
        <v>Net Interest</v>
      </c>
      <c r="J121" s="145"/>
      <c r="K121" s="145"/>
      <c r="L121" s="145"/>
      <c r="M121" s="145"/>
      <c r="N121" s="285">
        <v>6004.2563882221975</v>
      </c>
      <c r="O121" s="284">
        <v>6000.2477840515021</v>
      </c>
      <c r="P121" s="284">
        <v>5985.0950601618097</v>
      </c>
      <c r="Q121" s="284">
        <v>5968.3137143923896</v>
      </c>
      <c r="R121" s="285">
        <v>5860.5572296830705</v>
      </c>
      <c r="S121" s="421">
        <v>5832.6161948528934</v>
      </c>
      <c r="T121" s="421">
        <v>-0.55556000000000005</v>
      </c>
      <c r="U121" s="421">
        <v>0</v>
      </c>
    </row>
    <row r="122" spans="1:21">
      <c r="G122" s="253"/>
      <c r="N122" s="250"/>
      <c r="R122" s="250"/>
    </row>
    <row r="123" spans="1:21">
      <c r="A123" s="279"/>
      <c r="B123" s="280"/>
      <c r="C123" s="280"/>
      <c r="D123" s="280"/>
      <c r="E123" s="280"/>
      <c r="F123" s="280"/>
      <c r="G123" s="281">
        <v>1</v>
      </c>
      <c r="H123" s="893" t="str">
        <f>+H30</f>
        <v>Other operating expenses</v>
      </c>
      <c r="I123" s="893"/>
      <c r="J123" s="893"/>
      <c r="K123" s="893"/>
      <c r="L123" s="893"/>
      <c r="M123" s="893"/>
      <c r="N123" s="282">
        <f t="shared" ref="N123:U123" si="61">+SUM(N124:N126)</f>
        <v>98338.253967696699</v>
      </c>
      <c r="O123" s="281">
        <f t="shared" si="61"/>
        <v>89791.644131063455</v>
      </c>
      <c r="P123" s="281">
        <f t="shared" si="61"/>
        <v>87333.342141358502</v>
      </c>
      <c r="Q123" s="281">
        <f t="shared" si="61"/>
        <v>92904.345107986388</v>
      </c>
      <c r="R123" s="282">
        <f t="shared" si="61"/>
        <v>101881.85579727187</v>
      </c>
      <c r="S123" s="420">
        <f t="shared" si="61"/>
        <v>94735.878283376223</v>
      </c>
      <c r="T123" s="420">
        <f t="shared" si="61"/>
        <v>5484.6831101934222</v>
      </c>
      <c r="U123" s="420">
        <f t="shared" si="61"/>
        <v>0</v>
      </c>
    </row>
    <row r="124" spans="1:21">
      <c r="A124" s="283" t="s">
        <v>52</v>
      </c>
      <c r="B124" s="283" t="s">
        <v>50</v>
      </c>
      <c r="C124" s="283" t="s">
        <v>61</v>
      </c>
      <c r="D124" s="283" t="s">
        <v>131</v>
      </c>
      <c r="E124" s="283" t="s">
        <v>129</v>
      </c>
      <c r="F124" s="283"/>
      <c r="G124" s="284">
        <v>1</v>
      </c>
      <c r="H124" s="894"/>
      <c r="I124" s="145" t="str">
        <f>+RIGHT(D124,LEN(D124)-5)</f>
        <v>General Expenses Net of Allowances</v>
      </c>
      <c r="J124" s="145"/>
      <c r="K124" s="145"/>
      <c r="L124" s="145"/>
      <c r="M124" s="145"/>
      <c r="N124" s="285">
        <v>163143.56697122182</v>
      </c>
      <c r="O124" s="284">
        <v>154153.94270059728</v>
      </c>
      <c r="P124" s="284">
        <v>151464.70905678344</v>
      </c>
      <c r="Q124" s="284">
        <v>163072.03375217185</v>
      </c>
      <c r="R124" s="285">
        <v>168449.22124413255</v>
      </c>
      <c r="S124" s="421">
        <v>165894.98862593537</v>
      </c>
      <c r="T124" s="421">
        <v>22792.838326607234</v>
      </c>
      <c r="U124" s="421">
        <v>0</v>
      </c>
    </row>
    <row r="125" spans="1:21">
      <c r="A125" s="283"/>
      <c r="B125" s="283"/>
      <c r="C125" s="283"/>
      <c r="D125" s="283"/>
      <c r="E125" s="283"/>
      <c r="F125" s="283"/>
      <c r="G125" s="286">
        <v>-1</v>
      </c>
      <c r="H125" s="897"/>
      <c r="I125" s="146" t="str">
        <f>+_xlfn.CONCAT("Less: ",H107)</f>
        <v>Less: Insurance expenses</v>
      </c>
      <c r="N125" s="287">
        <f t="shared" ref="N125:U125" si="62">+N107*$G$125</f>
        <v>-64805.313003525123</v>
      </c>
      <c r="O125" s="286">
        <f t="shared" si="62"/>
        <v>-64362.298569533828</v>
      </c>
      <c r="P125" s="286">
        <f t="shared" si="62"/>
        <v>-64131.366915424936</v>
      </c>
      <c r="Q125" s="286">
        <f t="shared" si="62"/>
        <v>-70167.688644185459</v>
      </c>
      <c r="R125" s="287">
        <f t="shared" si="62"/>
        <v>-66567.365446860684</v>
      </c>
      <c r="S125" s="203">
        <f t="shared" si="62"/>
        <v>-71159.110342559143</v>
      </c>
      <c r="T125" s="203">
        <f t="shared" si="62"/>
        <v>-17308.155216413812</v>
      </c>
      <c r="U125" s="203">
        <f t="shared" si="62"/>
        <v>0</v>
      </c>
    </row>
    <row r="126" spans="1:21">
      <c r="G126" s="253"/>
      <c r="N126" s="250"/>
      <c r="R126" s="250"/>
    </row>
    <row r="127" spans="1:21">
      <c r="A127" s="279"/>
      <c r="B127" s="280"/>
      <c r="C127" s="280"/>
      <c r="D127" s="280"/>
      <c r="E127" s="280"/>
      <c r="F127" s="280"/>
      <c r="G127" s="281">
        <v>1</v>
      </c>
      <c r="H127" s="893" t="str">
        <f>+I33</f>
        <v>Income taxes</v>
      </c>
      <c r="I127" s="893"/>
      <c r="J127" s="893"/>
      <c r="K127" s="893"/>
      <c r="L127" s="893"/>
      <c r="M127" s="893"/>
      <c r="N127" s="282">
        <f t="shared" ref="N127:U127" si="63">+SUM(N128:N129)</f>
        <v>52263.896209236285</v>
      </c>
      <c r="O127" s="281">
        <f t="shared" si="63"/>
        <v>56152.9393648634</v>
      </c>
      <c r="P127" s="281">
        <f t="shared" si="63"/>
        <v>64885.933220324499</v>
      </c>
      <c r="Q127" s="281">
        <f t="shared" si="63"/>
        <v>50027.307931742078</v>
      </c>
      <c r="R127" s="282">
        <f t="shared" si="63"/>
        <v>59322.279832669898</v>
      </c>
      <c r="S127" s="420">
        <f t="shared" si="63"/>
        <v>55940.691892775649</v>
      </c>
      <c r="T127" s="420">
        <f t="shared" si="63"/>
        <v>3601.6701755180998</v>
      </c>
      <c r="U127" s="420">
        <f t="shared" si="63"/>
        <v>0</v>
      </c>
    </row>
    <row r="128" spans="1:21">
      <c r="A128" s="283" t="s">
        <v>52</v>
      </c>
      <c r="B128" s="283" t="s">
        <v>50</v>
      </c>
      <c r="C128" s="283" t="s">
        <v>61</v>
      </c>
      <c r="D128" s="283" t="s">
        <v>145</v>
      </c>
      <c r="E128" s="283" t="s">
        <v>129</v>
      </c>
      <c r="F128" s="283"/>
      <c r="G128" s="284">
        <v>1</v>
      </c>
      <c r="H128" s="894"/>
      <c r="I128" s="145" t="str">
        <f>+RIGHT(D128,LEN(D128)-5)</f>
        <v>Income tax on Continuing Ops</v>
      </c>
      <c r="J128" s="145"/>
      <c r="K128" s="145"/>
      <c r="L128" s="145"/>
      <c r="M128" s="145"/>
      <c r="N128" s="285">
        <v>52263.896209236285</v>
      </c>
      <c r="O128" s="284">
        <v>56152.9393648634</v>
      </c>
      <c r="P128" s="284">
        <v>64885.933220324499</v>
      </c>
      <c r="Q128" s="284">
        <v>50027.307931742078</v>
      </c>
      <c r="R128" s="285">
        <v>59322.279832669898</v>
      </c>
      <c r="S128" s="421">
        <v>55940.691892775649</v>
      </c>
      <c r="T128" s="421">
        <v>3601.6701755180998</v>
      </c>
      <c r="U128" s="421">
        <v>0</v>
      </c>
    </row>
    <row r="129" spans="1:21">
      <c r="G129" s="253"/>
      <c r="N129" s="250"/>
      <c r="R129" s="250"/>
    </row>
    <row r="130" spans="1:21">
      <c r="A130" s="279"/>
      <c r="B130" s="280"/>
      <c r="C130" s="280"/>
      <c r="D130" s="280"/>
      <c r="E130" s="280"/>
      <c r="F130" s="280"/>
      <c r="G130" s="281">
        <v>-1</v>
      </c>
      <c r="H130" s="1109" t="s">
        <v>916</v>
      </c>
      <c r="I130" s="893"/>
      <c r="J130" s="893"/>
      <c r="K130" s="893"/>
      <c r="L130" s="893"/>
      <c r="M130" s="893"/>
      <c r="N130" s="282">
        <f t="shared" ref="N130:U130" si="64">+N40</f>
        <v>221314.8466147701</v>
      </c>
      <c r="O130" s="281">
        <f t="shared" si="64"/>
        <v>234496.49775596531</v>
      </c>
      <c r="P130" s="281">
        <f t="shared" si="64"/>
        <v>271678.6745994878</v>
      </c>
      <c r="Q130" s="281">
        <f t="shared" si="64"/>
        <v>247073.92775672674</v>
      </c>
      <c r="R130" s="282">
        <f t="shared" si="64"/>
        <v>249418.30000565809</v>
      </c>
      <c r="S130" s="420">
        <f t="shared" si="64"/>
        <v>258218.98864944035</v>
      </c>
      <c r="T130" s="420">
        <f t="shared" si="64"/>
        <v>0</v>
      </c>
      <c r="U130" s="420">
        <f t="shared" si="64"/>
        <v>0</v>
      </c>
    </row>
    <row r="131" spans="1:21">
      <c r="A131" s="283" t="s">
        <v>52</v>
      </c>
      <c r="B131" s="283" t="s">
        <v>50</v>
      </c>
      <c r="C131" s="283" t="s">
        <v>61</v>
      </c>
      <c r="D131" s="283" t="s">
        <v>147</v>
      </c>
      <c r="E131" s="283" t="s">
        <v>129</v>
      </c>
      <c r="F131" s="283"/>
      <c r="G131" s="284">
        <v>-1</v>
      </c>
      <c r="H131" s="894"/>
      <c r="I131" s="145" t="str">
        <f>+RIGHT(D131,LEN(D131)-5)</f>
        <v>Pre tax from Continuing Ops</v>
      </c>
      <c r="J131" s="145"/>
      <c r="K131" s="145"/>
      <c r="L131" s="145"/>
      <c r="M131" s="145"/>
      <c r="N131" s="285">
        <v>-221314.84661477013</v>
      </c>
      <c r="O131" s="284">
        <v>-234496.49775596533</v>
      </c>
      <c r="P131" s="284">
        <v>-271678.6745994878</v>
      </c>
      <c r="Q131" s="284">
        <v>-247073.92775672674</v>
      </c>
      <c r="R131" s="285">
        <v>-249418.30000565806</v>
      </c>
      <c r="S131" s="421">
        <v>-258218.98864944035</v>
      </c>
      <c r="T131" s="421">
        <v>-1148941.8296563525</v>
      </c>
      <c r="U131" s="421">
        <v>0</v>
      </c>
    </row>
    <row r="132" spans="1:21" ht="14.4" thickBot="1">
      <c r="G132" s="253"/>
      <c r="I132" s="895" t="s">
        <v>150</v>
      </c>
      <c r="J132" s="895"/>
      <c r="K132" s="895"/>
      <c r="L132" s="895"/>
      <c r="M132" s="895"/>
      <c r="N132" s="289">
        <f t="shared" ref="N132:U132" si="65">+SUM(N130:N131)</f>
        <v>0</v>
      </c>
      <c r="O132" s="288">
        <f t="shared" si="65"/>
        <v>0</v>
      </c>
      <c r="P132" s="288">
        <f t="shared" si="65"/>
        <v>0</v>
      </c>
      <c r="Q132" s="288">
        <f t="shared" si="65"/>
        <v>0</v>
      </c>
      <c r="R132" s="289">
        <f t="shared" si="65"/>
        <v>0</v>
      </c>
      <c r="S132" s="422">
        <f t="shared" si="65"/>
        <v>0</v>
      </c>
      <c r="T132" s="422">
        <f t="shared" si="65"/>
        <v>-1148941.8296563525</v>
      </c>
      <c r="U132" s="422">
        <f t="shared" si="65"/>
        <v>0</v>
      </c>
    </row>
    <row r="133" spans="1:21" ht="14.4" thickTop="1">
      <c r="G133" s="253"/>
      <c r="N133" s="250"/>
      <c r="R133" s="250"/>
    </row>
    <row r="134" spans="1:21">
      <c r="A134" s="279"/>
      <c r="B134" s="280"/>
      <c r="C134" s="280"/>
      <c r="D134" s="280"/>
      <c r="E134" s="280"/>
      <c r="F134" s="280"/>
      <c r="G134" s="281">
        <v>-1</v>
      </c>
      <c r="H134" s="1018" t="s">
        <v>533</v>
      </c>
      <c r="I134" s="893"/>
      <c r="J134" s="893"/>
      <c r="K134" s="893"/>
      <c r="L134" s="893"/>
      <c r="M134" s="893"/>
      <c r="N134" s="282">
        <f t="shared" ref="N134:U134" si="66">N34</f>
        <v>169050.9504055336</v>
      </c>
      <c r="O134" s="281">
        <f t="shared" si="66"/>
        <v>178343.55839110183</v>
      </c>
      <c r="P134" s="281">
        <f t="shared" si="66"/>
        <v>206792.74137916317</v>
      </c>
      <c r="Q134" s="281">
        <f t="shared" si="66"/>
        <v>197046.61982498443</v>
      </c>
      <c r="R134" s="282">
        <f t="shared" si="66"/>
        <v>190096.02017298818</v>
      </c>
      <c r="S134" s="420">
        <f t="shared" si="66"/>
        <v>202278.2967566647</v>
      </c>
      <c r="T134" s="420">
        <f t="shared" si="66"/>
        <v>0</v>
      </c>
      <c r="U134" s="420">
        <f t="shared" si="66"/>
        <v>0</v>
      </c>
    </row>
    <row r="135" spans="1:21">
      <c r="A135" s="283" t="s">
        <v>52</v>
      </c>
      <c r="B135" s="283" t="s">
        <v>50</v>
      </c>
      <c r="C135" s="283" t="s">
        <v>61</v>
      </c>
      <c r="D135" s="283" t="s">
        <v>692</v>
      </c>
      <c r="E135" s="283" t="s">
        <v>129</v>
      </c>
      <c r="F135" s="283"/>
      <c r="G135" s="284">
        <v>-1</v>
      </c>
      <c r="H135" s="894"/>
      <c r="I135" s="145" t="str">
        <f>+RIGHT(D135,LEN(D135)-5)</f>
        <v>Net Income</v>
      </c>
      <c r="J135" s="145"/>
      <c r="K135" s="145"/>
      <c r="L135" s="145"/>
      <c r="M135" s="145"/>
      <c r="N135" s="285">
        <v>-169050.95040553383</v>
      </c>
      <c r="O135" s="284">
        <v>-178343.55839110192</v>
      </c>
      <c r="P135" s="284">
        <v>-206792.74137916329</v>
      </c>
      <c r="Q135" s="284">
        <v>-197046.61982498463</v>
      </c>
      <c r="R135" s="285">
        <v>-190096.02017298818</v>
      </c>
      <c r="S135" s="421">
        <v>-202278.2967566647</v>
      </c>
      <c r="T135" s="421">
        <v>-1145340.1594808344</v>
      </c>
      <c r="U135" s="421">
        <v>0</v>
      </c>
    </row>
    <row r="136" spans="1:21" ht="14.4" thickBot="1">
      <c r="G136" s="253"/>
      <c r="I136" s="895" t="s">
        <v>869</v>
      </c>
      <c r="J136" s="895"/>
      <c r="K136" s="895"/>
      <c r="L136" s="895"/>
      <c r="M136" s="895"/>
      <c r="N136" s="289">
        <f t="shared" ref="N136:U136" si="67">+SUM(N134:N135)</f>
        <v>-2.3283064365386963E-10</v>
      </c>
      <c r="O136" s="288">
        <f t="shared" si="67"/>
        <v>0</v>
      </c>
      <c r="P136" s="288">
        <f t="shared" si="67"/>
        <v>0</v>
      </c>
      <c r="Q136" s="288">
        <f t="shared" si="67"/>
        <v>0</v>
      </c>
      <c r="R136" s="289">
        <f t="shared" si="67"/>
        <v>0</v>
      </c>
      <c r="S136" s="422">
        <f t="shared" si="67"/>
        <v>0</v>
      </c>
      <c r="T136" s="422">
        <f t="shared" si="67"/>
        <v>-1145340.1594808344</v>
      </c>
      <c r="U136" s="422">
        <f t="shared" si="67"/>
        <v>0</v>
      </c>
    </row>
    <row r="137" spans="1:21" ht="14.4" thickTop="1">
      <c r="G137" s="253"/>
      <c r="N137" s="250"/>
      <c r="R137" s="250"/>
    </row>
    <row r="138" spans="1:21">
      <c r="A138" s="279"/>
      <c r="B138" s="280"/>
      <c r="C138" s="280"/>
      <c r="D138" s="280"/>
      <c r="E138" s="280"/>
      <c r="F138" s="280"/>
      <c r="G138" s="281">
        <v>-1</v>
      </c>
      <c r="H138" s="893" t="str">
        <f>H40</f>
        <v>Income before income taxes</v>
      </c>
      <c r="I138" s="893"/>
      <c r="J138" s="893"/>
      <c r="K138" s="893"/>
      <c r="L138" s="893"/>
      <c r="M138" s="893"/>
      <c r="N138" s="282">
        <f t="shared" ref="N138:U138" si="68">+SUM(N139:N141)</f>
        <v>-221314.8466147701</v>
      </c>
      <c r="O138" s="281">
        <f t="shared" si="68"/>
        <v>-234496.49775596531</v>
      </c>
      <c r="P138" s="281">
        <f t="shared" si="68"/>
        <v>-271678.6745994878</v>
      </c>
      <c r="Q138" s="281">
        <f t="shared" si="68"/>
        <v>-247073.92775672674</v>
      </c>
      <c r="R138" s="282">
        <f t="shared" si="68"/>
        <v>-249418.30000565809</v>
      </c>
      <c r="S138" s="420">
        <f t="shared" si="68"/>
        <v>-258218.98864944035</v>
      </c>
      <c r="T138" s="420">
        <f t="shared" si="68"/>
        <v>-1148941.8296563525</v>
      </c>
      <c r="U138" s="420">
        <f t="shared" si="68"/>
        <v>0</v>
      </c>
    </row>
    <row r="139" spans="1:21">
      <c r="A139" s="283" t="s">
        <v>218</v>
      </c>
      <c r="B139" s="283" t="s">
        <v>50</v>
      </c>
      <c r="C139" s="283" t="s">
        <v>61</v>
      </c>
      <c r="D139" s="283" t="s">
        <v>147</v>
      </c>
      <c r="E139" s="283" t="s">
        <v>133</v>
      </c>
      <c r="F139" s="283"/>
      <c r="G139" s="284">
        <v>-1</v>
      </c>
      <c r="H139" s="894" t="str">
        <f>+G37</f>
        <v>Term Life Insurance</v>
      </c>
      <c r="I139" s="145"/>
      <c r="J139" s="145"/>
      <c r="K139" s="145"/>
      <c r="L139" s="145"/>
      <c r="M139" s="145"/>
      <c r="N139" s="285">
        <v>-146785.26878898067</v>
      </c>
      <c r="O139" s="284">
        <v>-155012.43699340709</v>
      </c>
      <c r="P139" s="284">
        <v>-172684.28050388626</v>
      </c>
      <c r="Q139" s="284">
        <v>-146578.49960695204</v>
      </c>
      <c r="R139" s="285">
        <v>-154859.10336638498</v>
      </c>
      <c r="S139" s="421">
        <v>-148480.41131150778</v>
      </c>
      <c r="T139" s="421">
        <v>-1013665.8512407377</v>
      </c>
      <c r="U139" s="421">
        <v>0</v>
      </c>
    </row>
    <row r="140" spans="1:21">
      <c r="A140" s="283" t="s">
        <v>218</v>
      </c>
      <c r="B140" s="283" t="s">
        <v>50</v>
      </c>
      <c r="C140" s="283" t="s">
        <v>61</v>
      </c>
      <c r="D140" s="283" t="s">
        <v>147</v>
      </c>
      <c r="E140" s="283" t="s">
        <v>149</v>
      </c>
      <c r="F140" s="283"/>
      <c r="G140" s="284">
        <v>-1</v>
      </c>
      <c r="H140" s="894" t="str">
        <f>+G38</f>
        <v>Investment &amp; Savings Products</v>
      </c>
      <c r="I140" s="145"/>
      <c r="J140" s="145"/>
      <c r="K140" s="145"/>
      <c r="L140" s="145"/>
      <c r="M140" s="145"/>
      <c r="N140" s="285">
        <v>-81270.484350254832</v>
      </c>
      <c r="O140" s="284">
        <v>-79420.335698514406</v>
      </c>
      <c r="P140" s="284">
        <v>-94223.48616093141</v>
      </c>
      <c r="Q140" s="284">
        <v>-100608.8179494169</v>
      </c>
      <c r="R140" s="285">
        <v>-100899.50036422804</v>
      </c>
      <c r="S140" s="421">
        <v>-104215.60940615163</v>
      </c>
      <c r="T140" s="421">
        <v>42225.453259116919</v>
      </c>
      <c r="U140" s="421">
        <v>0</v>
      </c>
    </row>
    <row r="141" spans="1:21">
      <c r="A141" s="283" t="s">
        <v>218</v>
      </c>
      <c r="B141" s="283" t="s">
        <v>50</v>
      </c>
      <c r="C141" s="283" t="s">
        <v>61</v>
      </c>
      <c r="D141" s="283" t="s">
        <v>147</v>
      </c>
      <c r="E141" s="283" t="s">
        <v>148</v>
      </c>
      <c r="F141" s="283"/>
      <c r="G141" s="284">
        <v>-1</v>
      </c>
      <c r="H141" s="894" t="str">
        <f>+G39</f>
        <v>Corporate &amp; Other Distributed Products</v>
      </c>
      <c r="I141" s="145"/>
      <c r="J141" s="145"/>
      <c r="K141" s="145"/>
      <c r="L141" s="145"/>
      <c r="M141" s="145"/>
      <c r="N141" s="285">
        <v>6740.9065244653875</v>
      </c>
      <c r="O141" s="284">
        <v>-63.725064043811997</v>
      </c>
      <c r="P141" s="284">
        <v>-4770.9079346701164</v>
      </c>
      <c r="Q141" s="284">
        <v>113.38979964221379</v>
      </c>
      <c r="R141" s="285">
        <v>6340.3037249549288</v>
      </c>
      <c r="S141" s="421">
        <v>-5522.967931780935</v>
      </c>
      <c r="T141" s="421">
        <v>-177501.43167473187</v>
      </c>
      <c r="U141" s="421">
        <v>0</v>
      </c>
    </row>
    <row r="142" spans="1:21">
      <c r="G142" s="253"/>
      <c r="N142" s="250"/>
      <c r="R142" s="250"/>
    </row>
    <row r="143" spans="1:21">
      <c r="G143" s="253"/>
      <c r="N143" s="250"/>
      <c r="R143" s="250"/>
    </row>
    <row r="144" spans="1:21">
      <c r="A144" s="279"/>
      <c r="B144" s="280"/>
      <c r="C144" s="280"/>
      <c r="D144" s="280"/>
      <c r="E144" s="280"/>
      <c r="F144" s="280"/>
      <c r="G144" s="281">
        <v>1</v>
      </c>
      <c r="H144" s="893" t="s">
        <v>140</v>
      </c>
      <c r="I144" s="893"/>
      <c r="J144" s="893"/>
      <c r="K144" s="893"/>
      <c r="L144" s="893"/>
      <c r="M144" s="893"/>
      <c r="N144" s="282">
        <f t="shared" ref="N144:U144" si="69">+SUM(N145:N146)</f>
        <v>-530.28994999999998</v>
      </c>
      <c r="O144" s="281">
        <f t="shared" si="69"/>
        <v>-181.86385999999999</v>
      </c>
      <c r="P144" s="281">
        <f t="shared" si="69"/>
        <v>-321.03624000000002</v>
      </c>
      <c r="Q144" s="281">
        <f t="shared" si="69"/>
        <v>465.95787000000001</v>
      </c>
      <c r="R144" s="282">
        <f t="shared" si="69"/>
        <v>0</v>
      </c>
      <c r="S144" s="420">
        <f t="shared" si="69"/>
        <v>0</v>
      </c>
      <c r="T144" s="420">
        <f t="shared" si="69"/>
        <v>0</v>
      </c>
      <c r="U144" s="420">
        <f t="shared" si="69"/>
        <v>0</v>
      </c>
    </row>
    <row r="145" spans="1:25">
      <c r="A145" s="283" t="s">
        <v>52</v>
      </c>
      <c r="B145" s="283" t="s">
        <v>50</v>
      </c>
      <c r="C145" s="283" t="s">
        <v>61</v>
      </c>
      <c r="D145" s="283" t="s">
        <v>139</v>
      </c>
      <c r="E145" s="283" t="s">
        <v>129</v>
      </c>
      <c r="F145" s="283"/>
      <c r="G145" s="284">
        <v>1</v>
      </c>
      <c r="H145" s="894"/>
      <c r="I145" s="145" t="str">
        <f>+RIGHT(D145,LEN(D145)-7)</f>
        <v>Mark to Market Economic Rsrv Trust</v>
      </c>
      <c r="J145" s="145"/>
      <c r="K145" s="145"/>
      <c r="L145" s="145"/>
      <c r="M145" s="145"/>
      <c r="N145" s="285">
        <v>-530.28994999999998</v>
      </c>
      <c r="O145" s="284">
        <v>-181.86385999999999</v>
      </c>
      <c r="P145" s="284">
        <v>-321.03624000000002</v>
      </c>
      <c r="Q145" s="284">
        <v>465.95787000000001</v>
      </c>
      <c r="R145" s="285">
        <v>0</v>
      </c>
      <c r="S145" s="421">
        <v>0</v>
      </c>
      <c r="T145" s="421">
        <v>0</v>
      </c>
      <c r="U145" s="421">
        <v>0</v>
      </c>
    </row>
    <row r="146" spans="1:25">
      <c r="G146" s="253"/>
      <c r="N146" s="250"/>
      <c r="R146" s="250"/>
    </row>
    <row r="147" spans="1:25">
      <c r="A147" s="279"/>
      <c r="B147" s="280"/>
      <c r="C147" s="280"/>
      <c r="D147" s="280"/>
      <c r="E147" s="280"/>
      <c r="F147" s="280"/>
      <c r="G147" s="281">
        <v>-1</v>
      </c>
      <c r="H147" s="893" t="s">
        <v>832</v>
      </c>
      <c r="I147" s="893"/>
      <c r="J147" s="893"/>
      <c r="K147" s="893"/>
      <c r="L147" s="893"/>
      <c r="M147" s="893"/>
      <c r="N147" s="282">
        <f t="shared" ref="N147:U147" si="70">+SUM(N148:N149)</f>
        <v>0</v>
      </c>
      <c r="O147" s="281">
        <f t="shared" si="70"/>
        <v>0</v>
      </c>
      <c r="P147" s="281">
        <f t="shared" si="70"/>
        <v>0</v>
      </c>
      <c r="Q147" s="281">
        <f t="shared" si="70"/>
        <v>0</v>
      </c>
      <c r="R147" s="282">
        <f t="shared" si="70"/>
        <v>0</v>
      </c>
      <c r="S147" s="420">
        <f t="shared" si="70"/>
        <v>0</v>
      </c>
      <c r="T147" s="420">
        <f t="shared" si="70"/>
        <v>0</v>
      </c>
      <c r="U147" s="420">
        <f t="shared" si="70"/>
        <v>0</v>
      </c>
    </row>
    <row r="148" spans="1:25">
      <c r="A148" s="283" t="s">
        <v>52</v>
      </c>
      <c r="B148" s="283" t="s">
        <v>50</v>
      </c>
      <c r="C148" s="283" t="s">
        <v>61</v>
      </c>
      <c r="D148" s="283" t="s">
        <v>831</v>
      </c>
      <c r="E148" s="283" t="s">
        <v>129</v>
      </c>
      <c r="F148" s="283"/>
      <c r="G148" s="284">
        <v>-1</v>
      </c>
      <c r="H148" s="894"/>
      <c r="I148" s="145" t="str">
        <f>+RIGHT(D148,LEN(D148)-7)</f>
        <v>Other Gain, Non-Operating Income</v>
      </c>
      <c r="J148" s="145"/>
      <c r="K148" s="145"/>
      <c r="L148" s="145"/>
      <c r="M148" s="145"/>
      <c r="N148" s="285">
        <v>0</v>
      </c>
      <c r="O148" s="284">
        <v>0</v>
      </c>
      <c r="P148" s="284">
        <v>0</v>
      </c>
      <c r="Q148" s="284">
        <v>0</v>
      </c>
      <c r="R148" s="285">
        <v>0</v>
      </c>
      <c r="S148" s="421">
        <v>0</v>
      </c>
      <c r="T148" s="421">
        <v>0</v>
      </c>
      <c r="U148" s="421">
        <v>0</v>
      </c>
    </row>
    <row r="149" spans="1:25">
      <c r="G149" s="253"/>
      <c r="N149" s="250"/>
      <c r="R149" s="250"/>
    </row>
    <row r="150" spans="1:25">
      <c r="A150" s="279"/>
      <c r="B150" s="280"/>
      <c r="C150" s="280"/>
      <c r="D150" s="280"/>
      <c r="E150" s="280"/>
      <c r="F150" s="280"/>
      <c r="G150" s="281">
        <v>1</v>
      </c>
      <c r="H150" s="893" t="s">
        <v>514</v>
      </c>
      <c r="I150" s="893"/>
      <c r="J150" s="893"/>
      <c r="K150" s="893"/>
      <c r="L150" s="893"/>
      <c r="M150" s="893"/>
      <c r="N150" s="282">
        <f t="shared" ref="N150:U150" si="71">+SUM(N151:N153)</f>
        <v>-303.96199999999999</v>
      </c>
      <c r="O150" s="281">
        <f t="shared" si="71"/>
        <v>642.73800000000006</v>
      </c>
      <c r="P150" s="281">
        <f t="shared" si="71"/>
        <v>-232.42400000000001</v>
      </c>
      <c r="Q150" s="281">
        <f t="shared" si="71"/>
        <v>-35.421999999999997</v>
      </c>
      <c r="R150" s="282">
        <f t="shared" si="71"/>
        <v>-94.128</v>
      </c>
      <c r="S150" s="420">
        <f t="shared" si="71"/>
        <v>-366.28899999999999</v>
      </c>
      <c r="T150" s="420">
        <f t="shared" si="71"/>
        <v>0</v>
      </c>
      <c r="U150" s="420">
        <f t="shared" si="71"/>
        <v>0</v>
      </c>
    </row>
    <row r="151" spans="1:25">
      <c r="A151" s="283" t="s">
        <v>52</v>
      </c>
      <c r="B151" s="283" t="s">
        <v>50</v>
      </c>
      <c r="C151" s="283" t="s">
        <v>61</v>
      </c>
      <c r="D151" s="283" t="s">
        <v>141</v>
      </c>
      <c r="E151" s="283" t="s">
        <v>129</v>
      </c>
      <c r="F151" s="283"/>
      <c r="G151" s="284">
        <v>1</v>
      </c>
      <c r="H151" s="894"/>
      <c r="I151" s="145" t="str">
        <f>+RIGHT(D151,LEN(D151)-5)</f>
        <v>Income Tax on NCI</v>
      </c>
      <c r="J151" s="145"/>
      <c r="K151" s="145"/>
      <c r="L151" s="145"/>
      <c r="M151" s="145"/>
      <c r="N151" s="296">
        <v>0</v>
      </c>
      <c r="O151" s="284">
        <v>0</v>
      </c>
      <c r="P151" s="284">
        <v>0</v>
      </c>
      <c r="Q151" s="284">
        <v>0</v>
      </c>
      <c r="R151" s="285">
        <v>0</v>
      </c>
      <c r="S151" s="421">
        <v>0</v>
      </c>
      <c r="T151" s="421">
        <v>0</v>
      </c>
      <c r="U151" s="421">
        <v>0</v>
      </c>
    </row>
    <row r="152" spans="1:25" ht="14.4">
      <c r="A152" s="283" t="s">
        <v>143</v>
      </c>
      <c r="B152" s="283" t="s">
        <v>50</v>
      </c>
      <c r="C152" s="283" t="s">
        <v>61</v>
      </c>
      <c r="D152" s="283" t="s">
        <v>142</v>
      </c>
      <c r="E152" s="283" t="s">
        <v>129</v>
      </c>
      <c r="F152" s="283"/>
      <c r="G152" s="284">
        <v>1</v>
      </c>
      <c r="H152" s="894"/>
      <c r="I152" s="145" t="str">
        <f>+RIGHT(D152,LEN(D152)-5)</f>
        <v>Tax on Operating Adjustments</v>
      </c>
      <c r="J152" s="145"/>
      <c r="K152" s="145"/>
      <c r="L152" s="145"/>
      <c r="M152" s="145"/>
      <c r="N152" s="285">
        <v>-303.96199999999999</v>
      </c>
      <c r="O152" s="284">
        <v>642.73800000000006</v>
      </c>
      <c r="P152" s="284">
        <v>-232.42400000000001</v>
      </c>
      <c r="Q152" s="284">
        <v>-35.421999999999997</v>
      </c>
      <c r="R152" s="285">
        <v>-94.128</v>
      </c>
      <c r="S152" s="421">
        <v>-366.28899999999999</v>
      </c>
      <c r="T152" s="421">
        <v>0</v>
      </c>
      <c r="U152" s="421">
        <v>0</v>
      </c>
      <c r="X152"/>
      <c r="Y152" s="681"/>
    </row>
    <row r="153" spans="1:25">
      <c r="G153" s="253"/>
      <c r="N153" s="250"/>
      <c r="R153" s="250"/>
    </row>
    <row r="154" spans="1:25">
      <c r="G154" s="253"/>
      <c r="N154" s="250"/>
      <c r="R154" s="250"/>
    </row>
    <row r="155" spans="1:25">
      <c r="G155" s="253"/>
      <c r="N155" s="1148" t="str">
        <f>+RIGHT(Q4,4)</f>
        <v>2025</v>
      </c>
      <c r="O155" s="1149"/>
      <c r="P155" s="1149"/>
      <c r="Q155" s="1150"/>
      <c r="R155" s="1148" t="str">
        <f>+RIGHT(U4,4)</f>
        <v>2026</v>
      </c>
      <c r="S155" s="1149"/>
      <c r="T155" s="1149"/>
      <c r="U155" s="1150"/>
    </row>
    <row r="156" spans="1:25">
      <c r="G156" s="253"/>
      <c r="N156" s="273" t="str">
        <f t="shared" ref="N156:U156" si="72">+LEFT(N4,2)</f>
        <v>Q1</v>
      </c>
      <c r="O156" s="252" t="str">
        <f t="shared" si="72"/>
        <v>Q2</v>
      </c>
      <c r="P156" s="252" t="str">
        <f t="shared" si="72"/>
        <v>Q3</v>
      </c>
      <c r="Q156" s="252" t="str">
        <f t="shared" si="72"/>
        <v>Q4</v>
      </c>
      <c r="R156" s="273" t="str">
        <f t="shared" si="72"/>
        <v>Q1</v>
      </c>
      <c r="S156" s="346" t="str">
        <f t="shared" si="72"/>
        <v>Q2</v>
      </c>
      <c r="T156" s="346" t="str">
        <f t="shared" si="72"/>
        <v>Q3</v>
      </c>
      <c r="U156" s="346" t="str">
        <f t="shared" si="72"/>
        <v>Q4</v>
      </c>
    </row>
    <row r="157" spans="1:25">
      <c r="G157" s="253"/>
      <c r="H157" s="146" t="s">
        <v>704</v>
      </c>
      <c r="N157" s="250"/>
      <c r="R157" s="250"/>
    </row>
    <row r="158" spans="1:25">
      <c r="G158" s="253"/>
      <c r="I158" s="1024" t="s">
        <v>533</v>
      </c>
      <c r="N158" s="350">
        <f t="shared" ref="N158:U158" si="73">+N34</f>
        <v>169050.9504055336</v>
      </c>
      <c r="O158" s="351">
        <f t="shared" si="73"/>
        <v>178343.55839110183</v>
      </c>
      <c r="P158" s="351">
        <f t="shared" si="73"/>
        <v>206792.74137916317</v>
      </c>
      <c r="Q158" s="351">
        <f t="shared" si="73"/>
        <v>197046.61982498443</v>
      </c>
      <c r="R158" s="350">
        <f t="shared" si="73"/>
        <v>190096.02017298818</v>
      </c>
      <c r="S158" s="428">
        <f t="shared" si="73"/>
        <v>202278.2967566647</v>
      </c>
      <c r="T158" s="428">
        <f t="shared" si="73"/>
        <v>0</v>
      </c>
      <c r="U158" s="428">
        <f t="shared" si="73"/>
        <v>0</v>
      </c>
    </row>
    <row r="159" spans="1:25">
      <c r="G159" s="253"/>
      <c r="I159" s="146" t="s">
        <v>701</v>
      </c>
      <c r="N159" s="350">
        <f>+Recon!N33-Recon!N36</f>
        <v>1287.1481900000072</v>
      </c>
      <c r="O159" s="351">
        <f>+Recon!O33-Recon!O36</f>
        <v>-2684.0966819935711</v>
      </c>
      <c r="P159" s="351">
        <f>+Recon!P33-Recon!P36</f>
        <v>973.16365000000224</v>
      </c>
      <c r="Q159" s="351">
        <f>+Recon!Q33-Recon!Q36</f>
        <v>174.9422893312294</v>
      </c>
      <c r="R159" s="350">
        <f>+Recon!R33-Recon!R36</f>
        <v>395.75826999999117</v>
      </c>
      <c r="S159" s="428">
        <f>+Recon!S33-Recon!S36</f>
        <v>1690.7668738471402</v>
      </c>
      <c r="T159" s="428">
        <f>+Recon!T33-Recon!T36</f>
        <v>0</v>
      </c>
      <c r="U159" s="428">
        <f>+Recon!U33-Recon!U36</f>
        <v>0</v>
      </c>
    </row>
    <row r="160" spans="1:25">
      <c r="G160" s="253"/>
      <c r="I160" s="146" t="s">
        <v>722</v>
      </c>
      <c r="N160" s="350">
        <f t="shared" ref="N160:U160" si="74">+N150</f>
        <v>-303.96199999999999</v>
      </c>
      <c r="O160" s="351">
        <f t="shared" si="74"/>
        <v>642.73800000000006</v>
      </c>
      <c r="P160" s="351">
        <f t="shared" si="74"/>
        <v>-232.42400000000001</v>
      </c>
      <c r="Q160" s="351">
        <f t="shared" si="74"/>
        <v>-35.421999999999997</v>
      </c>
      <c r="R160" s="350">
        <f t="shared" si="74"/>
        <v>-94.128</v>
      </c>
      <c r="S160" s="428">
        <f t="shared" si="74"/>
        <v>-366.28899999999999</v>
      </c>
      <c r="T160" s="428">
        <f t="shared" si="74"/>
        <v>0</v>
      </c>
      <c r="U160" s="428">
        <f t="shared" si="74"/>
        <v>0</v>
      </c>
    </row>
    <row r="161" spans="1:21">
      <c r="G161" s="253"/>
      <c r="I161" s="146" t="s">
        <v>702</v>
      </c>
      <c r="N161" s="350">
        <f t="shared" ref="N161:U161" si="75">+N158-SUM(N159:N160)</f>
        <v>168067.76421553359</v>
      </c>
      <c r="O161" s="351">
        <f t="shared" si="75"/>
        <v>180384.91707309539</v>
      </c>
      <c r="P161" s="351">
        <f t="shared" si="75"/>
        <v>206052.00172916317</v>
      </c>
      <c r="Q161" s="351">
        <f t="shared" si="75"/>
        <v>196907.09953565319</v>
      </c>
      <c r="R161" s="350">
        <f t="shared" si="75"/>
        <v>189794.38990298819</v>
      </c>
      <c r="S161" s="428">
        <f t="shared" si="75"/>
        <v>200953.81888281755</v>
      </c>
      <c r="T161" s="428">
        <f t="shared" si="75"/>
        <v>0</v>
      </c>
      <c r="U161" s="428">
        <f t="shared" si="75"/>
        <v>0</v>
      </c>
    </row>
    <row r="162" spans="1:21">
      <c r="G162" s="253"/>
      <c r="J162" s="146" t="s">
        <v>308</v>
      </c>
      <c r="N162" s="350">
        <f>+N161-Recon!N43</f>
        <v>0</v>
      </c>
      <c r="O162" s="351">
        <f>+O161-Recon!O43</f>
        <v>0</v>
      </c>
      <c r="P162" s="351">
        <f>+P161-Recon!P43</f>
        <v>0</v>
      </c>
      <c r="Q162" s="351">
        <f>+Q161-Recon!Q43</f>
        <v>0</v>
      </c>
      <c r="R162" s="350">
        <f>+R161-Recon!R43</f>
        <v>0</v>
      </c>
      <c r="S162" s="428">
        <f>+S161-Recon!S43</f>
        <v>0</v>
      </c>
      <c r="T162" s="428">
        <f>+T161-Recon!T43</f>
        <v>0</v>
      </c>
      <c r="U162" s="428">
        <f>+U161-Recon!U43</f>
        <v>0</v>
      </c>
    </row>
    <row r="163" spans="1:21">
      <c r="G163" s="253"/>
      <c r="N163" s="250"/>
      <c r="R163" s="250"/>
    </row>
    <row r="164" spans="1:21">
      <c r="G164" s="253"/>
      <c r="H164" s="146" t="s">
        <v>703</v>
      </c>
      <c r="N164" s="352">
        <f t="shared" ref="N164:U164" si="76">+N165/-N166</f>
        <v>0.23615178560618216</v>
      </c>
      <c r="O164" s="353">
        <f t="shared" si="76"/>
        <v>0.2394617399501649</v>
      </c>
      <c r="P164" s="353">
        <f t="shared" si="76"/>
        <v>0.23883336929547444</v>
      </c>
      <c r="Q164" s="353">
        <f t="shared" si="76"/>
        <v>0.20247910569098909</v>
      </c>
      <c r="R164" s="352">
        <f t="shared" si="76"/>
        <v>0.23784253132718877</v>
      </c>
      <c r="S164" s="429">
        <f t="shared" si="76"/>
        <v>0.21664050419127412</v>
      </c>
      <c r="T164" s="429">
        <f t="shared" si="76"/>
        <v>3.1347715633221885E-3</v>
      </c>
      <c r="U164" s="429" t="e">
        <f t="shared" si="76"/>
        <v>#DIV/0!</v>
      </c>
    </row>
    <row r="165" spans="1:21">
      <c r="A165" s="283" t="s">
        <v>52</v>
      </c>
      <c r="B165" s="283" t="s">
        <v>50</v>
      </c>
      <c r="C165" s="283" t="s">
        <v>61</v>
      </c>
      <c r="D165" s="283" t="s">
        <v>145</v>
      </c>
      <c r="E165" s="283" t="s">
        <v>129</v>
      </c>
      <c r="F165" s="283"/>
      <c r="G165" s="284"/>
      <c r="H165" s="145" t="str">
        <f>+RIGHT(D165,LEN(D165)-5)</f>
        <v>Income tax on Continuing Ops</v>
      </c>
      <c r="I165" s="894"/>
      <c r="J165" s="145"/>
      <c r="K165" s="145"/>
      <c r="L165" s="145"/>
      <c r="M165" s="145"/>
      <c r="N165" s="285">
        <v>52263.896209236285</v>
      </c>
      <c r="O165" s="284">
        <v>56152.9393648634</v>
      </c>
      <c r="P165" s="284">
        <v>64885.933220324499</v>
      </c>
      <c r="Q165" s="284">
        <v>50027.307931742078</v>
      </c>
      <c r="R165" s="285">
        <v>59322.279832669898</v>
      </c>
      <c r="S165" s="421">
        <v>55940.691892775649</v>
      </c>
      <c r="T165" s="421">
        <v>3601.6701755180998</v>
      </c>
      <c r="U165" s="421">
        <v>0</v>
      </c>
    </row>
    <row r="166" spans="1:21">
      <c r="A166" s="283" t="s">
        <v>52</v>
      </c>
      <c r="B166" s="283" t="s">
        <v>50</v>
      </c>
      <c r="C166" s="283" t="s">
        <v>61</v>
      </c>
      <c r="D166" s="283" t="s">
        <v>147</v>
      </c>
      <c r="E166" s="283" t="s">
        <v>129</v>
      </c>
      <c r="F166" s="283"/>
      <c r="G166" s="284"/>
      <c r="H166" s="145" t="str">
        <f>+RIGHT(D166,LEN(D166)-5)</f>
        <v>Pre tax from Continuing Ops</v>
      </c>
      <c r="I166" s="894"/>
      <c r="J166" s="145"/>
      <c r="K166" s="145"/>
      <c r="L166" s="145"/>
      <c r="M166" s="145"/>
      <c r="N166" s="285">
        <v>-221314.84661477013</v>
      </c>
      <c r="O166" s="284">
        <v>-234496.49775596533</v>
      </c>
      <c r="P166" s="284">
        <v>-271678.6745994878</v>
      </c>
      <c r="Q166" s="284">
        <v>-247073.92775672674</v>
      </c>
      <c r="R166" s="285">
        <v>-249418.30000565806</v>
      </c>
      <c r="S166" s="421">
        <v>-258218.98864944035</v>
      </c>
      <c r="T166" s="421">
        <v>-1148941.8296563525</v>
      </c>
      <c r="U166" s="421">
        <v>0</v>
      </c>
    </row>
    <row r="167" spans="1:21">
      <c r="G167" s="253"/>
      <c r="N167" s="250"/>
      <c r="R167" s="250"/>
    </row>
    <row r="168" spans="1:21">
      <c r="G168" s="253"/>
      <c r="N168" s="250"/>
      <c r="R168" s="250"/>
    </row>
    <row r="169" spans="1:21">
      <c r="G169" s="253"/>
      <c r="N169" s="250"/>
      <c r="R169" s="250"/>
    </row>
    <row r="170" spans="1:21">
      <c r="G170" s="253"/>
      <c r="N170" s="250"/>
      <c r="R170" s="250"/>
    </row>
    <row r="171" spans="1:21">
      <c r="G171" s="253"/>
    </row>
  </sheetData>
  <sheetProtection formatCells="0"/>
  <mergeCells count="45">
    <mergeCell ref="H16:M16"/>
    <mergeCell ref="I15:M15"/>
    <mergeCell ref="J18:M18"/>
    <mergeCell ref="I13:M13"/>
    <mergeCell ref="G36:M36"/>
    <mergeCell ref="H34:M34"/>
    <mergeCell ref="G19:M19"/>
    <mergeCell ref="H20:M20"/>
    <mergeCell ref="H22:M22"/>
    <mergeCell ref="H32:M32"/>
    <mergeCell ref="I33:M33"/>
    <mergeCell ref="J31:M31"/>
    <mergeCell ref="H30:M30"/>
    <mergeCell ref="X3:Y3"/>
    <mergeCell ref="I9:M9"/>
    <mergeCell ref="H10:M10"/>
    <mergeCell ref="H11:M11"/>
    <mergeCell ref="I12:M12"/>
    <mergeCell ref="G4:M4"/>
    <mergeCell ref="G5:M5"/>
    <mergeCell ref="G6:M6"/>
    <mergeCell ref="H7:M7"/>
    <mergeCell ref="H8:M8"/>
    <mergeCell ref="R155:U155"/>
    <mergeCell ref="G37:M37"/>
    <mergeCell ref="G38:M38"/>
    <mergeCell ref="G39:M39"/>
    <mergeCell ref="H40:M40"/>
    <mergeCell ref="N155:Q155"/>
    <mergeCell ref="AC1:AG1"/>
    <mergeCell ref="H46:AG46"/>
    <mergeCell ref="H47:AG47"/>
    <mergeCell ref="H48:AG48"/>
    <mergeCell ref="I14:M14"/>
    <mergeCell ref="I28:M28"/>
    <mergeCell ref="H17:M17"/>
    <mergeCell ref="H21:M21"/>
    <mergeCell ref="H23:M23"/>
    <mergeCell ref="H24:M24"/>
    <mergeCell ref="H25:M25"/>
    <mergeCell ref="I26:M26"/>
    <mergeCell ref="I27:M27"/>
    <mergeCell ref="AF3:AG3"/>
    <mergeCell ref="H29:M29"/>
    <mergeCell ref="H1:AB1"/>
  </mergeCells>
  <conditionalFormatting sqref="N58:U58">
    <cfRule type="cellIs" dxfId="4" priority="2" operator="equal">
      <formula>"ERROR"</formula>
    </cfRule>
  </conditionalFormatting>
  <dataValidations count="1">
    <dataValidation type="list" allowBlank="1" showInputMessage="1" showErrorMessage="1" sqref="C33" xr:uid="{5486A7B9-4E5F-43A8-A628-A2B788E9D6EB}">
      <formula1>"YES, NO"</formula1>
    </dataValidation>
  </dataValidations>
  <pageMargins left="0.15" right="0.15" top="0.15" bottom="0.15" header="0" footer="0.15"/>
  <pageSetup scale="58"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ignoredErrors>
    <ignoredError sqref="R9"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607F-6DE5-4ED6-B3B2-518C52182AEF}">
  <sheetPr>
    <pageSetUpPr fitToPage="1"/>
  </sheetPr>
  <dimension ref="A1:AM57"/>
  <sheetViews>
    <sheetView zoomScale="90" zoomScaleNormal="90" workbookViewId="0">
      <pane ySplit="4" topLeftCell="A5" activePane="bottomLeft" state="frozen"/>
      <selection activeCell="K26" sqref="K26"/>
      <selection pane="bottomLeft"/>
    </sheetView>
  </sheetViews>
  <sheetFormatPr defaultColWidth="9.109375" defaultRowHeight="13.8"/>
  <cols>
    <col min="1" max="6" width="9.109375" style="145"/>
    <col min="7" max="7" width="4.109375" style="892" customWidth="1"/>
    <col min="8" max="12" width="4.109375" style="146" customWidth="1"/>
    <col min="13" max="13" width="36.5546875" style="146" customWidth="1"/>
    <col min="14" max="18" width="11.44140625" style="146" customWidth="1"/>
    <col min="19" max="21" width="11.44140625" style="294" customWidth="1"/>
    <col min="22" max="23" width="0.88671875" style="146" customWidth="1"/>
    <col min="24" max="24" width="11.44140625" style="146" customWidth="1"/>
    <col min="25" max="25" width="9.109375" style="641" customWidth="1"/>
    <col min="26" max="27" width="0.88671875" style="146" customWidth="1"/>
    <col min="28" max="29" width="12.88671875" style="146" customWidth="1"/>
    <col min="30" max="31" width="0.88671875" style="146" customWidth="1"/>
    <col min="32" max="32" width="11.44140625" style="146" customWidth="1"/>
    <col min="33" max="33" width="9.109375" style="641" customWidth="1"/>
    <col min="34" max="34" width="4.109375" style="146" customWidth="1"/>
    <col min="35" max="16384" width="9.109375" style="146"/>
  </cols>
  <sheetData>
    <row r="1" spans="1:39" s="667" customFormat="1" ht="39.9" customHeight="1" thickBot="1">
      <c r="A1" s="666" t="str">
        <f>+Manual!A1</f>
        <v>Q2
2025</v>
      </c>
      <c r="B1" s="666" t="str">
        <f>+Manual!D1</f>
        <v>Q2
2026</v>
      </c>
      <c r="C1" s="666"/>
      <c r="D1" s="666"/>
      <c r="E1" s="666"/>
      <c r="F1" s="666"/>
      <c r="G1" s="961"/>
      <c r="H1" s="1143" t="s">
        <v>673</v>
      </c>
      <c r="I1" s="1143"/>
      <c r="J1" s="1143"/>
      <c r="K1" s="1143"/>
      <c r="L1" s="1143"/>
      <c r="M1" s="1143"/>
      <c r="N1" s="1143"/>
      <c r="O1" s="1143"/>
      <c r="P1" s="1143"/>
      <c r="Q1" s="1143"/>
      <c r="R1" s="1143"/>
      <c r="S1" s="1143"/>
      <c r="T1" s="1143"/>
      <c r="U1" s="1143"/>
      <c r="V1" s="1143"/>
      <c r="W1" s="1143"/>
      <c r="X1" s="1143"/>
      <c r="Y1" s="1143"/>
      <c r="Z1" s="1143"/>
      <c r="AA1" s="1143"/>
      <c r="AB1" s="1143"/>
      <c r="AC1" s="1131" t="s">
        <v>752</v>
      </c>
      <c r="AD1" s="1131"/>
      <c r="AE1" s="1131"/>
      <c r="AF1" s="1131"/>
      <c r="AG1" s="1131"/>
      <c r="AH1" s="661"/>
    </row>
    <row r="2" spans="1:39" s="654" customFormat="1" ht="14.4">
      <c r="A2" s="656"/>
      <c r="B2" s="656"/>
      <c r="C2" s="656"/>
      <c r="D2" s="656"/>
      <c r="E2" s="656"/>
      <c r="F2" s="656"/>
      <c r="G2" s="892"/>
      <c r="H2" s="146"/>
      <c r="I2" s="146"/>
      <c r="J2" s="146"/>
      <c r="K2" s="146"/>
      <c r="L2" s="146"/>
      <c r="M2" s="146"/>
      <c r="S2" s="683"/>
      <c r="T2" s="683"/>
      <c r="U2" s="683"/>
      <c r="Y2" s="684"/>
      <c r="AG2" s="684"/>
      <c r="AH2" s="661"/>
    </row>
    <row r="3" spans="1:39" s="654" customFormat="1" ht="14.4">
      <c r="A3" s="656"/>
      <c r="B3" s="656"/>
      <c r="C3" s="656"/>
      <c r="D3" s="656"/>
      <c r="E3" s="656"/>
      <c r="F3" s="656"/>
      <c r="G3" s="892"/>
      <c r="H3" s="146"/>
      <c r="I3" s="146"/>
      <c r="J3" s="146"/>
      <c r="K3" s="146"/>
      <c r="L3" s="146"/>
      <c r="M3" s="146"/>
      <c r="N3" s="701"/>
      <c r="O3" s="701"/>
      <c r="P3" s="701"/>
      <c r="Q3" s="701"/>
      <c r="R3" s="701"/>
      <c r="S3" s="701"/>
      <c r="T3" s="701"/>
      <c r="U3" s="701"/>
      <c r="V3" s="702"/>
      <c r="W3" s="655"/>
      <c r="X3" s="1145" t="str">
        <f>+_xlfn.CONCAT("YOY ",LEFT(Manual!$D$1,2))</f>
        <v>YOY Q2</v>
      </c>
      <c r="Y3" s="1145"/>
      <c r="Z3" s="659"/>
      <c r="AA3" s="655"/>
      <c r="AB3" s="655"/>
      <c r="AC3" s="655"/>
      <c r="AD3" s="702"/>
      <c r="AE3" s="655"/>
      <c r="AF3" s="1145" t="s">
        <v>153</v>
      </c>
      <c r="AG3" s="1145"/>
      <c r="AH3" s="661"/>
    </row>
    <row r="4" spans="1:39" s="654" customFormat="1" ht="28.2">
      <c r="A4" s="656"/>
      <c r="B4" s="656"/>
      <c r="C4" s="656"/>
      <c r="D4" s="656"/>
      <c r="E4" s="656"/>
      <c r="F4" s="656"/>
      <c r="G4" s="1144" t="s">
        <v>0</v>
      </c>
      <c r="H4" s="1144"/>
      <c r="I4" s="1144"/>
      <c r="J4" s="1144"/>
      <c r="K4" s="1144"/>
      <c r="L4" s="1144"/>
      <c r="M4" s="1144"/>
      <c r="N4" s="663" t="str">
        <f>+IS!N4</f>
        <v>Q1
2025</v>
      </c>
      <c r="O4" s="662" t="str">
        <f>+IS!O4</f>
        <v>Q2
2025</v>
      </c>
      <c r="P4" s="662" t="str">
        <f>+IS!P4</f>
        <v>Q3
2025</v>
      </c>
      <c r="Q4" s="662" t="str">
        <f>+IS!Q4</f>
        <v>Q4
2025</v>
      </c>
      <c r="R4" s="663" t="str">
        <f>+IS!R4</f>
        <v>Q1
2026</v>
      </c>
      <c r="S4" s="662" t="str">
        <f>+IS!S4</f>
        <v>Q2
2026</v>
      </c>
      <c r="T4" s="662" t="str">
        <f>+IS!T4</f>
        <v>Q3
2026</v>
      </c>
      <c r="U4" s="662" t="str">
        <f>+IS!U4</f>
        <v>Q4
2026</v>
      </c>
      <c r="V4" s="703"/>
      <c r="W4" s="655"/>
      <c r="X4" s="704" t="s">
        <v>151</v>
      </c>
      <c r="Y4" s="704" t="s">
        <v>152</v>
      </c>
      <c r="Z4" s="705"/>
      <c r="AA4" s="655"/>
      <c r="AB4" s="662" t="str">
        <f>+_xlfn.CONCAT("YTD ",RIGHT(Q4,4))</f>
        <v>YTD 2025</v>
      </c>
      <c r="AC4" s="662" t="str">
        <f>+_xlfn.CONCAT("YTD ",RIGHT(U4,4))</f>
        <v>YTD 2026</v>
      </c>
      <c r="AD4" s="703"/>
      <c r="AE4" s="655"/>
      <c r="AF4" s="687" t="s">
        <v>151</v>
      </c>
      <c r="AG4" s="687" t="s">
        <v>152</v>
      </c>
      <c r="AH4" s="661"/>
    </row>
    <row r="5" spans="1:39" ht="30" customHeight="1">
      <c r="G5" s="1135" t="s">
        <v>845</v>
      </c>
      <c r="H5" s="1157"/>
      <c r="I5" s="1157"/>
      <c r="J5" s="1157"/>
      <c r="K5" s="1157"/>
      <c r="L5" s="1157"/>
      <c r="M5" s="1157"/>
      <c r="N5" s="340"/>
      <c r="O5" s="339"/>
      <c r="P5" s="339"/>
      <c r="Q5" s="339"/>
      <c r="R5" s="340"/>
      <c r="S5" s="339"/>
      <c r="T5" s="339"/>
      <c r="U5" s="339"/>
      <c r="V5" s="341"/>
      <c r="W5" s="324"/>
      <c r="X5" s="339"/>
      <c r="Y5" s="700"/>
      <c r="Z5" s="336"/>
      <c r="AA5" s="147"/>
      <c r="AB5" s="150"/>
      <c r="AC5" s="150"/>
      <c r="AD5" s="298"/>
      <c r="AE5" s="147"/>
      <c r="AF5" s="150"/>
      <c r="AG5" s="699"/>
      <c r="AH5"/>
    </row>
    <row r="6" spans="1:39" s="610" customFormat="1" ht="14.4">
      <c r="A6" s="600"/>
      <c r="B6" s="600"/>
      <c r="C6" s="600"/>
      <c r="D6" s="600"/>
      <c r="E6" s="600"/>
      <c r="F6" s="600"/>
      <c r="G6" s="963"/>
      <c r="H6" s="1133" t="s">
        <v>846</v>
      </c>
      <c r="I6" s="1133"/>
      <c r="J6" s="1133"/>
      <c r="K6" s="1133"/>
      <c r="L6" s="1133"/>
      <c r="M6" s="1133"/>
      <c r="N6" s="613">
        <f>+'Term 1'!N7</f>
        <v>854430.45268567174</v>
      </c>
      <c r="O6" s="605">
        <f>+'Term 1'!O7</f>
        <v>861919.09492307692</v>
      </c>
      <c r="P6" s="605">
        <f>+'Term 1'!P7</f>
        <v>864046.9180198072</v>
      </c>
      <c r="Q6" s="605">
        <f>+'Term 1'!Q7</f>
        <v>865138.27004663984</v>
      </c>
      <c r="R6" s="613">
        <f>+'Term 1'!R7</f>
        <v>867202.30091844825</v>
      </c>
      <c r="S6" s="605">
        <f>+'Term 1'!S7</f>
        <v>873604.31205804646</v>
      </c>
      <c r="T6" s="691"/>
      <c r="U6" s="691"/>
      <c r="V6" s="692"/>
      <c r="W6" s="605"/>
      <c r="X6" s="601">
        <f>+SUMIF($N$4:$U$4,$B$1,$N6:$U6)-SUMIF($N$4:$U$4,$A$1,$N6:$U6)</f>
        <v>11685.217134969542</v>
      </c>
      <c r="Y6" s="926">
        <f>IF(OR(ABS(IF(X6&lt;0,-ABS(X6/SUMIF($N$4:$U$4,$A$1,$N6:$U6)),ABS(X6/SUMIF($N$4:$U$4,$A$1,$N6:$U6))))&lt;minvar,ABS(IF(X6&lt;0,-ABS(X6/SUMIF($N$4:$U$4,$A$1,$N6:$U6)),ABS(X6/SUMIF($N$4:$U$4,$A$1,$N6:$U6))))&gt;maxvar)=TRUE,"nm",IF(X6&lt;0,-ABS(X6/SUMIF($N$4:$U$4,$A$1,$N6:$U6)),ABS(X6/SUMIF($N$4:$U$4,$A$1,$N6:$U6))))</f>
        <v>1.35572087958121E-2</v>
      </c>
      <c r="Z6" s="614"/>
      <c r="AA6" s="605"/>
      <c r="AB6" s="605">
        <f>+SUMIF($N$57:$Q$57,"Yes",$N6:$Q6)</f>
        <v>1716349.5476087485</v>
      </c>
      <c r="AC6" s="605">
        <f>+SUMIF($R$57:$U$57,"Yes",$R6:$U6)</f>
        <v>1740806.6129764947</v>
      </c>
      <c r="AD6" s="692"/>
      <c r="AE6" s="605"/>
      <c r="AF6" s="601">
        <f t="shared" ref="AF6:AF8" si="0">+$AC6-$AB6</f>
        <v>24457.065367746167</v>
      </c>
      <c r="AG6" s="926">
        <f>IF(OR(ABS(IF(AF6&lt;0,-ABS(AF6/$AB6),ABS(AF6/$AB6)))&lt;minvar,ABS(IF(AF6&lt;0,-ABS(AF6/$AB6),ABS(AF6/$AB6)))&gt;maxvar)=TRUE,"nm",IF(AF6&lt;0,-ABS(AF6/$AB6),ABS(AF6/$AB6)))</f>
        <v>1.4249466492312259E-2</v>
      </c>
      <c r="AH6" s="609"/>
    </row>
    <row r="7" spans="1:39" s="636" customFormat="1" ht="14.4">
      <c r="A7" s="626"/>
      <c r="B7" s="626"/>
      <c r="C7" s="626"/>
      <c r="D7" s="626"/>
      <c r="E7" s="626"/>
      <c r="F7" s="626"/>
      <c r="G7" s="972"/>
      <c r="H7" s="1155" t="s">
        <v>154</v>
      </c>
      <c r="I7" s="1155"/>
      <c r="J7" s="1155"/>
      <c r="K7" s="1155"/>
      <c r="L7" s="1155"/>
      <c r="M7" s="1155"/>
      <c r="N7" s="630">
        <f>-'Term 1'!N8</f>
        <v>191477.10753027844</v>
      </c>
      <c r="O7" s="629">
        <f>-'Term 1'!O8</f>
        <v>187988.117010138</v>
      </c>
      <c r="P7" s="629">
        <f>-'Term 1'!P8</f>
        <v>185391.85790959059</v>
      </c>
      <c r="Q7" s="629">
        <f>-'Term 1'!Q8</f>
        <v>183123.43464625214</v>
      </c>
      <c r="R7" s="630">
        <f>-'Term 1'!R8</f>
        <v>179574.82698573361</v>
      </c>
      <c r="S7" s="629">
        <f>-'Term 1'!S8</f>
        <v>176766.37789732899</v>
      </c>
      <c r="T7" s="629"/>
      <c r="U7" s="629"/>
      <c r="V7" s="696"/>
      <c r="W7" s="634"/>
      <c r="X7" s="629">
        <f>+SUMIF($N$4:$U$4,$B$1,$N7:$U7)-SUMIF($N$4:$U$4,$A$1,$N7:$U7)</f>
        <v>-11221.739112809009</v>
      </c>
      <c r="Y7" s="902">
        <f>IF(OR(ABS(IF(X7&lt;0,-ABS(X7/SUMIF($N$4:$U$4,$A$1,$N7:$U7)),ABS(X7/SUMIF($N$4:$U$4,$A$1,$N7:$U7))))&lt;minvar,ABS(IF(X7&lt;0,-ABS(X7/SUMIF($N$4:$U$4,$A$1,$N7:$U7)),ABS(X7/SUMIF($N$4:$U$4,$A$1,$N7:$U7))))&gt;maxvar)=TRUE,"nm",IF(X7&lt;0,-ABS(X7/SUMIF($N$4:$U$4,$A$1,$N7:$U7)),ABS(X7/SUMIF($N$4:$U$4,$A$1,$N7:$U7))))</f>
        <v>-5.9693874758072252E-2</v>
      </c>
      <c r="Z7" s="672"/>
      <c r="AA7" s="634"/>
      <c r="AB7" s="629">
        <f>+SUMIF($N$57:$Q$57,"Yes",$N7:$Q7)</f>
        <v>379465.22454041644</v>
      </c>
      <c r="AC7" s="629">
        <f>+SUMIF($R$57:$U$57,"Yes",$R7:$U7)</f>
        <v>356341.20488306263</v>
      </c>
      <c r="AD7" s="696"/>
      <c r="AE7" s="634"/>
      <c r="AF7" s="629">
        <f t="shared" si="0"/>
        <v>-23124.019657353812</v>
      </c>
      <c r="AG7" s="902">
        <f>IF(OR(ABS(IF(AF7&lt;0,-ABS(AF7/$AB7),ABS(AF7/$AB7)))&lt;minvar,ABS(IF(AF7&lt;0,-ABS(AF7/$AB7),ABS(AF7/$AB7)))&gt;maxvar)=TRUE,"nm",IF(AF7&lt;0,-ABS(AF7/$AB7),ABS(AF7/$AB7)))</f>
        <v>-6.0938442212616767E-2</v>
      </c>
      <c r="AH7" s="635"/>
      <c r="AJ7" s="610"/>
      <c r="AK7" s="610"/>
      <c r="AL7" s="610"/>
      <c r="AM7" s="610"/>
    </row>
    <row r="8" spans="1:39" s="610" customFormat="1" ht="15" thickBot="1">
      <c r="A8" s="600"/>
      <c r="B8" s="600"/>
      <c r="C8" s="600"/>
      <c r="D8" s="600"/>
      <c r="E8" s="600"/>
      <c r="F8" s="600"/>
      <c r="G8" s="972"/>
      <c r="H8" s="1156" t="s">
        <v>847</v>
      </c>
      <c r="I8" s="1156"/>
      <c r="J8" s="1156"/>
      <c r="K8" s="1156"/>
      <c r="L8" s="1156"/>
      <c r="M8" s="1156"/>
      <c r="N8" s="694">
        <f t="shared" ref="N8:Q8" si="1">+N6-N7</f>
        <v>662953.34515539324</v>
      </c>
      <c r="O8" s="693">
        <f t="shared" si="1"/>
        <v>673930.97791293892</v>
      </c>
      <c r="P8" s="693">
        <f t="shared" si="1"/>
        <v>678655.06011021661</v>
      </c>
      <c r="Q8" s="693">
        <f t="shared" si="1"/>
        <v>682014.83540038764</v>
      </c>
      <c r="R8" s="694">
        <f t="shared" ref="R8:S8" si="2">+R6-R7</f>
        <v>687627.47393271467</v>
      </c>
      <c r="S8" s="693">
        <f t="shared" si="2"/>
        <v>696837.93416071753</v>
      </c>
      <c r="T8" s="695"/>
      <c r="U8" s="695"/>
      <c r="V8" s="692"/>
      <c r="W8" s="605"/>
      <c r="X8" s="669">
        <f>+SUMIF($N$4:$U$4,$B$1,$N8:$U8)-SUMIF($N$4:$U$4,$A$1,$N8:$U8)</f>
        <v>22906.956247778609</v>
      </c>
      <c r="Y8" s="931">
        <f>IF(OR(ABS(IF(X8&lt;0,-ABS(X8/SUMIF($N$4:$U$4,$A$1,$N8:$U8)),ABS(X8/SUMIF($N$4:$U$4,$A$1,$N8:$U8))))&lt;minvar,ABS(IF(X8&lt;0,-ABS(X8/SUMIF($N$4:$U$4,$A$1,$N8:$U8)),ABS(X8/SUMIF($N$4:$U$4,$A$1,$N8:$U8))))&gt;maxvar)=TRUE,"nm",IF(X8&lt;0,-ABS(X8/SUMIF($N$4:$U$4,$A$1,$N8:$U8)),ABS(X8/SUMIF($N$4:$U$4,$A$1,$N8:$U8))))</f>
        <v>3.3990062778710584E-2</v>
      </c>
      <c r="Z8" s="614"/>
      <c r="AA8" s="605"/>
      <c r="AB8" s="693">
        <f>+SUMIF($N$57:$Q$57,"Yes",$N8:$Q8)</f>
        <v>1336884.3230683322</v>
      </c>
      <c r="AC8" s="693">
        <f>+SUMIF($R$57:$U$57,"Yes",$R8:$U8)</f>
        <v>1384465.4080934322</v>
      </c>
      <c r="AD8" s="692"/>
      <c r="AE8" s="605"/>
      <c r="AF8" s="669">
        <f t="shared" si="0"/>
        <v>47581.085025100037</v>
      </c>
      <c r="AG8" s="931">
        <f>IF(OR(ABS(IF(AF8&lt;0,-ABS(AF8/$AB8),ABS(AF8/$AB8)))&lt;minvar,ABS(IF(AF8&lt;0,-ABS(AF8/$AB8),ABS(AF8/$AB8)))&gt;maxvar)=TRUE,"nm",IF(AF8&lt;0,-ABS(AF8/$AB8),ABS(AF8/$AB8)))</f>
        <v>3.5591026242191952E-2</v>
      </c>
      <c r="AH8" s="609"/>
    </row>
    <row r="9" spans="1:39" ht="15" thickTop="1">
      <c r="G9" s="972"/>
      <c r="H9" s="147"/>
      <c r="I9" s="975"/>
      <c r="J9" s="147"/>
      <c r="K9" s="147"/>
      <c r="L9" s="147"/>
      <c r="M9" s="147"/>
      <c r="N9" s="303"/>
      <c r="O9" s="175"/>
      <c r="P9" s="175"/>
      <c r="Q9" s="175"/>
      <c r="R9" s="303"/>
      <c r="S9" s="175"/>
      <c r="T9" s="175"/>
      <c r="U9" s="175"/>
      <c r="V9" s="337"/>
      <c r="W9" s="257"/>
      <c r="X9" s="175"/>
      <c r="Y9" s="929"/>
      <c r="Z9" s="338"/>
      <c r="AA9" s="257"/>
      <c r="AB9" s="175"/>
      <c r="AC9" s="175"/>
      <c r="AD9" s="337"/>
      <c r="AE9" s="257"/>
      <c r="AF9" s="175"/>
      <c r="AG9" s="929"/>
      <c r="AH9"/>
      <c r="AJ9" s="610"/>
      <c r="AK9" s="610"/>
      <c r="AL9" s="610"/>
      <c r="AM9" s="610"/>
    </row>
    <row r="10" spans="1:39" ht="30" customHeight="1">
      <c r="G10" s="1135" t="s">
        <v>848</v>
      </c>
      <c r="H10" s="1157"/>
      <c r="I10" s="1157"/>
      <c r="J10" s="1157"/>
      <c r="K10" s="1157"/>
      <c r="L10" s="1157"/>
      <c r="M10" s="1157"/>
      <c r="N10" s="320"/>
      <c r="O10" s="319"/>
      <c r="P10" s="319"/>
      <c r="Q10" s="319"/>
      <c r="R10" s="320"/>
      <c r="S10" s="319"/>
      <c r="T10" s="319"/>
      <c r="U10" s="319"/>
      <c r="V10" s="337"/>
      <c r="W10" s="257"/>
      <c r="X10" s="319"/>
      <c r="Y10" s="959"/>
      <c r="Z10" s="338"/>
      <c r="AA10" s="257"/>
      <c r="AB10" s="319"/>
      <c r="AC10" s="319"/>
      <c r="AD10" s="337"/>
      <c r="AE10" s="257"/>
      <c r="AF10" s="319"/>
      <c r="AG10" s="959"/>
      <c r="AH10"/>
      <c r="AJ10" s="610"/>
      <c r="AK10" s="610"/>
      <c r="AL10" s="610"/>
      <c r="AM10" s="610"/>
    </row>
    <row r="11" spans="1:39" s="610" customFormat="1" ht="14.4">
      <c r="A11" s="600"/>
      <c r="B11" s="600"/>
      <c r="C11" s="600"/>
      <c r="D11" s="600"/>
      <c r="E11" s="600"/>
      <c r="F11" s="600"/>
      <c r="G11" s="972"/>
      <c r="H11" s="1133" t="s">
        <v>849</v>
      </c>
      <c r="I11" s="1133"/>
      <c r="J11" s="1133"/>
      <c r="K11" s="1133"/>
      <c r="L11" s="1133"/>
      <c r="M11" s="1133"/>
      <c r="N11" s="613">
        <f>+'Term 1'!N8+'Term 1'!N10</f>
        <v>-409334.0977729283</v>
      </c>
      <c r="O11" s="605">
        <f>+'Term 1'!O8+'Term 1'!O10</f>
        <v>-432306.34232131549</v>
      </c>
      <c r="P11" s="605">
        <f>+'Term 1'!P8+'Term 1'!P10</f>
        <v>-412935.17613506189</v>
      </c>
      <c r="Q11" s="605">
        <f>+'Term 1'!Q8+'Term 1'!Q10</f>
        <v>-419272.76563054265</v>
      </c>
      <c r="R11" s="613">
        <f>+'Term 1'!R8+'Term 1'!R10</f>
        <v>-413843.34695885977</v>
      </c>
      <c r="S11" s="605">
        <f>+'Term 1'!S8+'Term 1'!S10</f>
        <v>-441241.52221642871</v>
      </c>
      <c r="T11" s="691"/>
      <c r="U11" s="691"/>
      <c r="V11" s="692"/>
      <c r="W11" s="605"/>
      <c r="X11" s="601">
        <f>+SUMIF($N$4:$U$4,$B$1,$N11:$U11)-SUMIF($N$4:$U$4,$A$1,$N11:$U11)</f>
        <v>-8935.1798951132223</v>
      </c>
      <c r="Y11" s="926">
        <f>IF(OR(ABS(IF(X11&lt;0,-ABS(X11/SUMIF($N$4:$U$4,$A$1,$N11:$U11)),ABS(X11/SUMIF($N$4:$U$4,$A$1,$N11:$U11))))&lt;minvar,ABS(IF(X11&lt;0,-ABS(X11/SUMIF($N$4:$U$4,$A$1,$N11:$U11)),ABS(X11/SUMIF($N$4:$U$4,$A$1,$N11:$U11))))&gt;maxvar)=TRUE,"nm",IF(X11&lt;0,-ABS(X11/SUMIF($N$4:$U$4,$A$1,$N11:$U11)),ABS(X11/SUMIF($N$4:$U$4,$A$1,$N11:$U11))))</f>
        <v>-2.0668630136524972E-2</v>
      </c>
      <c r="Z11" s="614"/>
      <c r="AA11" s="605"/>
      <c r="AB11" s="605">
        <f>+SUMIF($N$57:$Q$57,"Yes",$N11:$Q11)</f>
        <v>-841640.44009424374</v>
      </c>
      <c r="AC11" s="605">
        <f>+SUMIF($R$57:$U$57,"Yes",$R11:$U11)</f>
        <v>-855084.86917528848</v>
      </c>
      <c r="AD11" s="692"/>
      <c r="AE11" s="605"/>
      <c r="AF11" s="601">
        <f t="shared" ref="AF11:AF13" si="3">+$AC11-$AB11</f>
        <v>-13444.429081044742</v>
      </c>
      <c r="AG11" s="926">
        <f>IF(OR(ABS(IF(AF11&lt;0,-ABS(AF11/$AB11),ABS(AF11/$AB11)))&lt;minvar,ABS(IF(AF11&lt;0,-ABS(AF11/$AB11),ABS(AF11/$AB11)))&gt;maxvar)=TRUE,"nm",IF(AF11&lt;0,-ABS(AF11/$AB11),ABS(AF11/$AB11)))</f>
        <v>-1.597407686296453E-2</v>
      </c>
      <c r="AH11" s="609"/>
    </row>
    <row r="12" spans="1:39" s="636" customFormat="1" ht="14.4">
      <c r="A12" s="626"/>
      <c r="B12" s="626"/>
      <c r="C12" s="626"/>
      <c r="D12" s="626"/>
      <c r="E12" s="626"/>
      <c r="F12" s="626"/>
      <c r="G12" s="972"/>
      <c r="H12" s="1155" t="s">
        <v>154</v>
      </c>
      <c r="I12" s="1155"/>
      <c r="J12" s="1155"/>
      <c r="K12" s="1155"/>
      <c r="L12" s="1155"/>
      <c r="M12" s="1155"/>
      <c r="N12" s="630">
        <f>+'Term 1'!N8</f>
        <v>-191477.10753027844</v>
      </c>
      <c r="O12" s="629">
        <f>+'Term 1'!O8</f>
        <v>-187988.117010138</v>
      </c>
      <c r="P12" s="629">
        <f>+'Term 1'!P8</f>
        <v>-185391.85790959059</v>
      </c>
      <c r="Q12" s="629">
        <f>+'Term 1'!Q8</f>
        <v>-183123.43464625214</v>
      </c>
      <c r="R12" s="630">
        <f>+'Term 1'!R8</f>
        <v>-179574.82698573361</v>
      </c>
      <c r="S12" s="629">
        <f>+'Term 1'!S8</f>
        <v>-176766.37789732899</v>
      </c>
      <c r="T12" s="629"/>
      <c r="U12" s="629"/>
      <c r="V12" s="696"/>
      <c r="W12" s="634"/>
      <c r="X12" s="629">
        <f>+SUMIF($N$4:$U$4,$B$1,$N12:$U12)-SUMIF($N$4:$U$4,$A$1,$N12:$U12)</f>
        <v>11221.739112809009</v>
      </c>
      <c r="Y12" s="902">
        <f>IF(OR(ABS(IF(X12&lt;0,-ABS(X12/SUMIF($N$4:$U$4,$A$1,$N12:$U12)),ABS(X12/SUMIF($N$4:$U$4,$A$1,$N12:$U12))))&lt;minvar,ABS(IF(X12&lt;0,-ABS(X12/SUMIF($N$4:$U$4,$A$1,$N12:$U12)),ABS(X12/SUMIF($N$4:$U$4,$A$1,$N12:$U12))))&gt;maxvar)=TRUE,"nm",IF(X12&lt;0,-ABS(X12/SUMIF($N$4:$U$4,$A$1,$N12:$U12)),ABS(X12/SUMIF($N$4:$U$4,$A$1,$N12:$U12))))</f>
        <v>5.9693874758072252E-2</v>
      </c>
      <c r="Z12" s="672"/>
      <c r="AA12" s="634"/>
      <c r="AB12" s="629">
        <f>+SUMIF($N$57:$Q$57,"Yes",$N12:$Q12)</f>
        <v>-379465.22454041644</v>
      </c>
      <c r="AC12" s="629">
        <f>+SUMIF($R$57:$U$57,"Yes",$R12:$U12)</f>
        <v>-356341.20488306263</v>
      </c>
      <c r="AD12" s="696"/>
      <c r="AE12" s="634"/>
      <c r="AF12" s="629">
        <f t="shared" si="3"/>
        <v>23124.019657353812</v>
      </c>
      <c r="AG12" s="902">
        <f>IF(OR(ABS(IF(AF12&lt;0,-ABS(AF12/$AB12),ABS(AF12/$AB12)))&lt;minvar,ABS(IF(AF12&lt;0,-ABS(AF12/$AB12),ABS(AF12/$AB12)))&gt;maxvar)=TRUE,"nm",IF(AF12&lt;0,-ABS(AF12/$AB12),ABS(AF12/$AB12)))</f>
        <v>6.0938442212616767E-2</v>
      </c>
      <c r="AH12" s="635"/>
      <c r="AJ12" s="610"/>
      <c r="AK12" s="610"/>
      <c r="AL12" s="610"/>
      <c r="AM12" s="610"/>
    </row>
    <row r="13" spans="1:39" s="610" customFormat="1" ht="15" thickBot="1">
      <c r="A13" s="600"/>
      <c r="B13" s="600"/>
      <c r="C13" s="600"/>
      <c r="D13" s="600"/>
      <c r="E13" s="600"/>
      <c r="F13" s="600"/>
      <c r="G13" s="972"/>
      <c r="H13" s="1156" t="s">
        <v>850</v>
      </c>
      <c r="I13" s="1156"/>
      <c r="J13" s="1156"/>
      <c r="K13" s="1156"/>
      <c r="L13" s="1156"/>
      <c r="M13" s="1156"/>
      <c r="N13" s="694">
        <f t="shared" ref="N13:Q13" si="4">+N11-N12</f>
        <v>-217856.99024264986</v>
      </c>
      <c r="O13" s="693">
        <f t="shared" si="4"/>
        <v>-244318.22531117749</v>
      </c>
      <c r="P13" s="693">
        <f t="shared" si="4"/>
        <v>-227543.3182254713</v>
      </c>
      <c r="Q13" s="693">
        <f t="shared" si="4"/>
        <v>-236149.33098429051</v>
      </c>
      <c r="R13" s="694">
        <f t="shared" ref="R13:S13" si="5">+R11-R12</f>
        <v>-234268.51997312615</v>
      </c>
      <c r="S13" s="693">
        <f t="shared" si="5"/>
        <v>-264475.14431909972</v>
      </c>
      <c r="T13" s="695"/>
      <c r="U13" s="695"/>
      <c r="V13" s="692"/>
      <c r="W13" s="605"/>
      <c r="X13" s="669">
        <f>+SUMIF($N$4:$U$4,$B$1,$N13:$U13)-SUMIF($N$4:$U$4,$A$1,$N13:$U13)</f>
        <v>-20156.919007922232</v>
      </c>
      <c r="Y13" s="931">
        <f>IF(OR(ABS(IF(X13&lt;0,-ABS(X13/SUMIF($N$4:$U$4,$A$1,$N13:$U13)),ABS(X13/SUMIF($N$4:$U$4,$A$1,$N13:$U13))))&lt;minvar,ABS(IF(X13&lt;0,-ABS(X13/SUMIF($N$4:$U$4,$A$1,$N13:$U13)),ABS(X13/SUMIF($N$4:$U$4,$A$1,$N13:$U13))))&gt;maxvar)=TRUE,"nm",IF(X13&lt;0,-ABS(X13/SUMIF($N$4:$U$4,$A$1,$N13:$U13)),ABS(X13/SUMIF($N$4:$U$4,$A$1,$N13:$U13))))</f>
        <v>-8.250272357802714E-2</v>
      </c>
      <c r="Z13" s="614"/>
      <c r="AA13" s="605"/>
      <c r="AB13" s="693">
        <f>+SUMIF($N$57:$Q$57,"Yes",$N13:$Q13)</f>
        <v>-462175.21555382735</v>
      </c>
      <c r="AC13" s="693">
        <f>+SUMIF($R$57:$U$57,"Yes",$R13:$U13)</f>
        <v>-498743.66429222585</v>
      </c>
      <c r="AD13" s="692"/>
      <c r="AE13" s="605"/>
      <c r="AF13" s="669">
        <f t="shared" si="3"/>
        <v>-36568.448738398496</v>
      </c>
      <c r="AG13" s="931">
        <f>IF(OR(ABS(IF(AF13&lt;0,-ABS(AF13/$AB13),ABS(AF13/$AB13)))&lt;minvar,ABS(IF(AF13&lt;0,-ABS(AF13/$AB13),ABS(AF13/$AB13)))&gt;maxvar)=TRUE,"nm",IF(AF13&lt;0,-ABS(AF13/$AB13),ABS(AF13/$AB13)))</f>
        <v>-7.9122478894889034E-2</v>
      </c>
      <c r="AH13" s="609"/>
    </row>
    <row r="14" spans="1:39" ht="15" thickTop="1">
      <c r="G14" s="972"/>
      <c r="H14" s="147"/>
      <c r="I14" s="975"/>
      <c r="J14" s="147"/>
      <c r="K14" s="147"/>
      <c r="L14" s="147"/>
      <c r="M14" s="147"/>
      <c r="N14" s="303"/>
      <c r="O14" s="175"/>
      <c r="P14" s="175"/>
      <c r="Q14" s="175"/>
      <c r="R14" s="303"/>
      <c r="S14" s="175"/>
      <c r="T14" s="175"/>
      <c r="U14" s="175"/>
      <c r="V14" s="337"/>
      <c r="W14" s="257"/>
      <c r="X14" s="175"/>
      <c r="Y14" s="929"/>
      <c r="Z14" s="338"/>
      <c r="AA14" s="257"/>
      <c r="AB14" s="175"/>
      <c r="AC14" s="175"/>
      <c r="AD14" s="337"/>
      <c r="AE14" s="257"/>
      <c r="AF14" s="175"/>
      <c r="AG14" s="929"/>
      <c r="AH14"/>
      <c r="AJ14" s="610"/>
      <c r="AK14" s="610"/>
      <c r="AL14" s="610"/>
      <c r="AM14" s="610"/>
    </row>
    <row r="15" spans="1:39" ht="30" customHeight="1">
      <c r="G15" s="1135" t="s">
        <v>155</v>
      </c>
      <c r="H15" s="1157"/>
      <c r="I15" s="1157"/>
      <c r="J15" s="1157"/>
      <c r="K15" s="1157"/>
      <c r="L15" s="1157"/>
      <c r="M15" s="1157"/>
      <c r="N15" s="320"/>
      <c r="O15" s="319"/>
      <c r="P15" s="319"/>
      <c r="Q15" s="319"/>
      <c r="R15" s="320"/>
      <c r="S15" s="319"/>
      <c r="T15" s="319"/>
      <c r="U15" s="319"/>
      <c r="V15" s="337"/>
      <c r="W15" s="257"/>
      <c r="X15" s="319"/>
      <c r="Y15" s="959"/>
      <c r="Z15" s="338"/>
      <c r="AA15" s="257"/>
      <c r="AB15" s="319"/>
      <c r="AC15" s="319"/>
      <c r="AD15" s="337"/>
      <c r="AE15" s="257"/>
      <c r="AF15" s="319"/>
      <c r="AG15" s="959"/>
      <c r="AH15"/>
      <c r="AJ15" s="610"/>
      <c r="AK15" s="610"/>
      <c r="AL15" s="610"/>
      <c r="AM15" s="610"/>
    </row>
    <row r="16" spans="1:39" s="610" customFormat="1" ht="14.4">
      <c r="A16" s="600"/>
      <c r="B16" s="600"/>
      <c r="C16" s="600"/>
      <c r="D16" s="600"/>
      <c r="E16" s="600"/>
      <c r="F16" s="600"/>
      <c r="G16" s="972"/>
      <c r="H16" s="1133" t="s">
        <v>156</v>
      </c>
      <c r="I16" s="1133"/>
      <c r="J16" s="1133"/>
      <c r="K16" s="1133"/>
      <c r="L16" s="1133"/>
      <c r="M16" s="1133"/>
      <c r="N16" s="613">
        <f>+IS!N10</f>
        <v>41671.07165379556</v>
      </c>
      <c r="O16" s="605">
        <f>+IS!O10</f>
        <v>40928.088615971748</v>
      </c>
      <c r="P16" s="605">
        <f>+IS!P10</f>
        <v>42430.843660362589</v>
      </c>
      <c r="Q16" s="605">
        <f>+IS!Q10</f>
        <v>42122.20925036721</v>
      </c>
      <c r="R16" s="613">
        <f>+IS!R10</f>
        <v>43283.190339651846</v>
      </c>
      <c r="S16" s="605">
        <f>+IS!S10</f>
        <v>43737.713263577185</v>
      </c>
      <c r="T16" s="691"/>
      <c r="U16" s="691"/>
      <c r="V16" s="692"/>
      <c r="W16" s="605"/>
      <c r="X16" s="601">
        <f>+SUMIF($N$4:$U$4,$B$1,$N16:$U16)-SUMIF($N$4:$U$4,$A$1,$N16:$U16)</f>
        <v>2809.6246476054366</v>
      </c>
      <c r="Y16" s="926">
        <f>IF(OR(ABS(IF(X16&lt;0,-ABS(X16/SUMIF($N$4:$U$4,$A$1,$N16:$U16)),ABS(X16/SUMIF($N$4:$U$4,$A$1,$N16:$U16))))&lt;minvar,ABS(IF(X16&lt;0,-ABS(X16/SUMIF($N$4:$U$4,$A$1,$N16:$U16)),ABS(X16/SUMIF($N$4:$U$4,$A$1,$N16:$U16))))&gt;maxvar)=TRUE,"nm",IF(X16&lt;0,-ABS(X16/SUMIF($N$4:$U$4,$A$1,$N16:$U16)),ABS(X16/SUMIF($N$4:$U$4,$A$1,$N16:$U16))))</f>
        <v>6.8647834350832854E-2</v>
      </c>
      <c r="Z16" s="614"/>
      <c r="AA16" s="605"/>
      <c r="AB16" s="605">
        <f>+SUMIF($N$57:$Q$57,"Yes",$N16:$Q16)</f>
        <v>82599.160269767308</v>
      </c>
      <c r="AC16" s="605">
        <f>+SUMIF($R$57:$U$57,"Yes",$R16:$U16)</f>
        <v>87020.903603229031</v>
      </c>
      <c r="AD16" s="692"/>
      <c r="AE16" s="605"/>
      <c r="AF16" s="601">
        <f t="shared" ref="AF16:AF18" si="6">+$AC16-$AB16</f>
        <v>4421.7433334617235</v>
      </c>
      <c r="AG16" s="926">
        <f>IF(OR(ABS(IF(AF16&lt;0,-ABS(AF16/$AB16),ABS(AF16/$AB16)))&lt;minvar,ABS(IF(AF16&lt;0,-ABS(AF16/$AB16),ABS(AF16/$AB16)))&gt;maxvar)=TRUE,"nm",IF(AF16&lt;0,-ABS(AF16/$AB16),ABS(AF16/$AB16)))</f>
        <v>5.3532545839696105E-2</v>
      </c>
      <c r="AH16" s="609"/>
    </row>
    <row r="17" spans="1:39" s="636" customFormat="1" ht="14.4">
      <c r="A17" s="626"/>
      <c r="B17" s="626"/>
      <c r="C17" s="626"/>
      <c r="D17" s="626"/>
      <c r="E17" s="626"/>
      <c r="F17" s="626"/>
      <c r="G17" s="972"/>
      <c r="H17" s="1155" t="s">
        <v>157</v>
      </c>
      <c r="I17" s="1155"/>
      <c r="J17" s="1155"/>
      <c r="K17" s="1155"/>
      <c r="L17" s="1155"/>
      <c r="M17" s="1155"/>
      <c r="N17" s="630">
        <f>-IS!N144</f>
        <v>530.28994999999998</v>
      </c>
      <c r="O17" s="629">
        <f>-IS!O144</f>
        <v>181.86385999999999</v>
      </c>
      <c r="P17" s="629">
        <f>-IS!P144</f>
        <v>321.03624000000002</v>
      </c>
      <c r="Q17" s="629">
        <f>-IS!Q144</f>
        <v>-465.95787000000001</v>
      </c>
      <c r="R17" s="630">
        <f>-IS!R144</f>
        <v>0</v>
      </c>
      <c r="S17" s="629">
        <f>-IS!S144</f>
        <v>0</v>
      </c>
      <c r="T17" s="629"/>
      <c r="U17" s="629"/>
      <c r="V17" s="696"/>
      <c r="W17" s="634"/>
      <c r="X17" s="629" t="s">
        <v>192</v>
      </c>
      <c r="Y17" s="902" t="s">
        <v>192</v>
      </c>
      <c r="Z17" s="672"/>
      <c r="AA17" s="634"/>
      <c r="AB17" s="629">
        <f>+SUMIF($N$57:$Q$57,"Yes",$N17:$Q17)</f>
        <v>712.15381000000002</v>
      </c>
      <c r="AC17" s="629">
        <f>+SUMIF($R$57:$U$57,"Yes",$R17:$U17)</f>
        <v>0</v>
      </c>
      <c r="AD17" s="696"/>
      <c r="AE17" s="634"/>
      <c r="AF17" s="629" t="s">
        <v>192</v>
      </c>
      <c r="AG17" s="902" t="s">
        <v>192</v>
      </c>
      <c r="AH17" s="635"/>
      <c r="AJ17" s="610"/>
      <c r="AK17" s="610"/>
      <c r="AL17" s="610"/>
      <c r="AM17" s="610"/>
    </row>
    <row r="18" spans="1:39" s="610" customFormat="1" ht="15" thickBot="1">
      <c r="A18" s="600"/>
      <c r="B18" s="600"/>
      <c r="C18" s="600"/>
      <c r="D18" s="600"/>
      <c r="E18" s="600"/>
      <c r="F18" s="600"/>
      <c r="G18" s="972"/>
      <c r="H18" s="1156" t="s">
        <v>158</v>
      </c>
      <c r="I18" s="1156"/>
      <c r="J18" s="1156"/>
      <c r="K18" s="1156"/>
      <c r="L18" s="1156"/>
      <c r="M18" s="1156"/>
      <c r="N18" s="694">
        <f t="shared" ref="N18:Q18" si="7">+N16-N17</f>
        <v>41140.781703795561</v>
      </c>
      <c r="O18" s="693">
        <f t="shared" si="7"/>
        <v>40746.224755971751</v>
      </c>
      <c r="P18" s="693">
        <f t="shared" si="7"/>
        <v>42109.807420362587</v>
      </c>
      <c r="Q18" s="693">
        <f t="shared" si="7"/>
        <v>42588.167120367209</v>
      </c>
      <c r="R18" s="694">
        <f t="shared" ref="R18:S18" si="8">+R16-R17</f>
        <v>43283.190339651846</v>
      </c>
      <c r="S18" s="693">
        <f t="shared" si="8"/>
        <v>43737.713263577185</v>
      </c>
      <c r="T18" s="695"/>
      <c r="U18" s="695"/>
      <c r="V18" s="692"/>
      <c r="W18" s="605"/>
      <c r="X18" s="669">
        <f>+SUMIF($N$4:$U$4,$B$1,$N18:$U18)-SUMIF($N$4:$U$4,$A$1,$N18:$U18)</f>
        <v>2991.4885076054343</v>
      </c>
      <c r="Y18" s="931">
        <f>IF(OR(ABS(IF(X18&lt;0,-ABS(X18/SUMIF($N$4:$U$4,$A$1,$N18:$U18)),ABS(X18/SUMIF($N$4:$U$4,$A$1,$N18:$U18))))&lt;minvar,ABS(IF(X18&lt;0,-ABS(X18/SUMIF($N$4:$U$4,$A$1,$N18:$U18)),ABS(X18/SUMIF($N$4:$U$4,$A$1,$N18:$U18))))&gt;maxvar)=TRUE,"nm",IF(X18&lt;0,-ABS(X18/SUMIF($N$4:$U$4,$A$1,$N18:$U18)),ABS(X18/SUMIF($N$4:$U$4,$A$1,$N18:$U18))))</f>
        <v>7.3417562621356791E-2</v>
      </c>
      <c r="Z18" s="614"/>
      <c r="AA18" s="605"/>
      <c r="AB18" s="693">
        <f>+SUMIF($N$57:$Q$57,"Yes",$N18:$Q18)</f>
        <v>81887.006459767319</v>
      </c>
      <c r="AC18" s="693">
        <f>+SUMIF($R$57:$U$57,"Yes",$R18:$U18)</f>
        <v>87020.903603229031</v>
      </c>
      <c r="AD18" s="692"/>
      <c r="AE18" s="605"/>
      <c r="AF18" s="669">
        <f t="shared" si="6"/>
        <v>5133.8971434617124</v>
      </c>
      <c r="AG18" s="931">
        <f>IF(OR(ABS(IF(AF18&lt;0,-ABS(AF18/$AB18),ABS(AF18/$AB18)))&lt;minvar,ABS(IF(AF18&lt;0,-ABS(AF18/$AB18),ABS(AF18/$AB18)))&gt;maxvar)=TRUE,"nm",IF(AF18&lt;0,-ABS(AF18/$AB18),ABS(AF18/$AB18)))</f>
        <v>6.2694893432013496E-2</v>
      </c>
      <c r="AH18" s="609"/>
    </row>
    <row r="19" spans="1:39" ht="15" thickTop="1">
      <c r="G19" s="1000"/>
      <c r="H19" s="147"/>
      <c r="I19" s="975"/>
      <c r="J19" s="147"/>
      <c r="K19" s="147"/>
      <c r="L19" s="147"/>
      <c r="M19" s="147"/>
      <c r="N19" s="303"/>
      <c r="O19" s="175"/>
      <c r="P19" s="175"/>
      <c r="Q19" s="175"/>
      <c r="R19" s="303"/>
      <c r="S19" s="175"/>
      <c r="T19" s="175"/>
      <c r="U19" s="175"/>
      <c r="V19" s="337"/>
      <c r="W19" s="257"/>
      <c r="X19" s="175"/>
      <c r="Y19" s="929"/>
      <c r="Z19" s="338"/>
      <c r="AA19" s="257"/>
      <c r="AB19" s="175"/>
      <c r="AC19" s="175"/>
      <c r="AD19" s="337"/>
      <c r="AE19" s="257"/>
      <c r="AF19" s="175"/>
      <c r="AG19" s="929"/>
      <c r="AH19"/>
      <c r="AJ19" s="610"/>
      <c r="AK19" s="610"/>
      <c r="AL19" s="610"/>
      <c r="AM19" s="610"/>
    </row>
    <row r="20" spans="1:39" ht="30" customHeight="1">
      <c r="G20" s="1135" t="s">
        <v>166</v>
      </c>
      <c r="H20" s="1135"/>
      <c r="I20" s="1135"/>
      <c r="J20" s="1135"/>
      <c r="K20" s="1135"/>
      <c r="L20" s="1135"/>
      <c r="M20" s="1158"/>
      <c r="N20" s="320"/>
      <c r="O20" s="319"/>
      <c r="P20" s="319"/>
      <c r="Q20" s="304"/>
      <c r="R20" s="319"/>
      <c r="S20" s="319"/>
      <c r="T20" s="319"/>
      <c r="U20" s="319"/>
      <c r="V20" s="337"/>
      <c r="W20" s="257"/>
      <c r="X20" s="319"/>
      <c r="Y20" s="959"/>
      <c r="Z20" s="338"/>
      <c r="AA20" s="257"/>
      <c r="AB20" s="319"/>
      <c r="AC20" s="319"/>
      <c r="AD20" s="337"/>
      <c r="AE20" s="257"/>
      <c r="AF20" s="319"/>
      <c r="AG20" s="959"/>
      <c r="AH20"/>
      <c r="AJ20" s="610"/>
      <c r="AK20" s="610"/>
      <c r="AL20" s="610"/>
      <c r="AM20" s="610"/>
    </row>
    <row r="21" spans="1:39" s="610" customFormat="1" ht="14.4">
      <c r="A21" s="600"/>
      <c r="B21" s="600"/>
      <c r="C21" s="1014"/>
      <c r="D21" s="600"/>
      <c r="E21" s="600"/>
      <c r="F21" s="600"/>
      <c r="G21" s="1013"/>
      <c r="H21" s="1133" t="s">
        <v>113</v>
      </c>
      <c r="I21" s="1133"/>
      <c r="J21" s="1133"/>
      <c r="K21" s="1133"/>
      <c r="L21" s="1133"/>
      <c r="M21" s="1154"/>
      <c r="N21" s="613">
        <f>+CNO!N40</f>
        <v>-6740.9065244653902</v>
      </c>
      <c r="O21" s="605">
        <f>+CNO!O40</f>
        <v>63.725064043806924</v>
      </c>
      <c r="P21" s="605">
        <f>+CNO!P40</f>
        <v>4770.9079346701183</v>
      </c>
      <c r="Q21" s="605">
        <f>+CNO!Q40</f>
        <v>-113.38979964221653</v>
      </c>
      <c r="R21" s="613">
        <f>+CNO!R40</f>
        <v>-6340.3037249549307</v>
      </c>
      <c r="S21" s="605">
        <f>+CNO!S40</f>
        <v>5522.9679317809278</v>
      </c>
      <c r="T21" s="691"/>
      <c r="U21" s="691"/>
      <c r="V21" s="692"/>
      <c r="W21" s="605"/>
      <c r="X21" s="601">
        <f>+SUMIF($N$4:$U$4,$B$1,$N21:$U21)-SUMIF($N$4:$U$4,$A$1,$N21:$U21)</f>
        <v>5459.2428677371208</v>
      </c>
      <c r="Y21" s="926" t="str">
        <f>IF(OR(ABS(IF(X21&lt;0,-ABS(X21/SUMIF($N$4:$U$4,$A$1,$N21:$U21)),ABS(X21/SUMIF($N$4:$U$4,$A$1,$N21:$U21))))&lt;minvar,ABS(IF(X21&lt;0,-ABS(X21/SUMIF($N$4:$U$4,$A$1,$N21:$U21)),ABS(X21/SUMIF($N$4:$U$4,$A$1,$N21:$U21))))&gt;maxvar)=TRUE,"nm",IF(X21&lt;0,-ABS(X21/SUMIF($N$4:$U$4,$A$1,$N21:$U21)),ABS(X21/SUMIF($N$4:$U$4,$A$1,$N21:$U21))))</f>
        <v>nm</v>
      </c>
      <c r="Z21" s="614"/>
      <c r="AA21" s="605"/>
      <c r="AB21" s="605">
        <f>+SUMIF($N$57:$Q$57,"Yes",$N21:$Q21)</f>
        <v>-6677.1814604215833</v>
      </c>
      <c r="AC21" s="605">
        <f>+SUMIF($R$57:$U$57,"Yes",$R21:$U21)</f>
        <v>-817.3357931740029</v>
      </c>
      <c r="AD21" s="692"/>
      <c r="AE21" s="605"/>
      <c r="AF21" s="605">
        <f>+$AC21-$AB21</f>
        <v>5859.8456672475804</v>
      </c>
      <c r="AG21" s="926">
        <f>IF(OR(ABS(IF(AF21&lt;0,-ABS(AF21/$AB21),ABS(AF21/$AB21)))&lt;minvar,ABS(IF(AF21&lt;0,-ABS(AF21/$AB21),ABS(AF21/$AB21)))&gt;maxvar)=TRUE,"nm",IF(AF21&lt;0,-ABS(AF21/$AB21),ABS(AF21/$AB21)))</f>
        <v>0.87759269416014973</v>
      </c>
      <c r="AH21" s="609"/>
    </row>
    <row r="22" spans="1:39" s="636" customFormat="1" ht="14.4">
      <c r="A22" s="626"/>
      <c r="B22" s="626"/>
      <c r="C22" s="626"/>
      <c r="D22" s="626"/>
      <c r="E22" s="626"/>
      <c r="F22" s="626"/>
      <c r="G22" s="1013"/>
      <c r="H22" s="1155" t="s">
        <v>162</v>
      </c>
      <c r="I22" s="1155"/>
      <c r="J22" s="1155"/>
      <c r="K22" s="1155"/>
      <c r="L22" s="1155"/>
      <c r="M22" s="1159"/>
      <c r="N22" s="630">
        <f>+CNO!N41</f>
        <v>756.85824000000002</v>
      </c>
      <c r="O22" s="629">
        <f>+CNO!O41</f>
        <v>-2865.960541993572</v>
      </c>
      <c r="P22" s="629">
        <f>+CNO!P41</f>
        <v>652.12741000000005</v>
      </c>
      <c r="Q22" s="631">
        <f>+CNO!Q41</f>
        <v>640.90015933123004</v>
      </c>
      <c r="R22" s="629">
        <f>+CNO!R41</f>
        <v>395.75826999999998</v>
      </c>
      <c r="S22" s="629">
        <f>+CNO!S41</f>
        <v>1690.7668738471536</v>
      </c>
      <c r="T22" s="629"/>
      <c r="U22" s="629"/>
      <c r="V22" s="696"/>
      <c r="W22" s="634"/>
      <c r="X22" s="629" t="s">
        <v>192</v>
      </c>
      <c r="Y22" s="902" t="s">
        <v>192</v>
      </c>
      <c r="Z22" s="672"/>
      <c r="AA22" s="634"/>
      <c r="AB22" s="629">
        <f>+SUMIF($N$57:$Q$57,"Yes",$N22:$Q22)</f>
        <v>-2109.1023019935719</v>
      </c>
      <c r="AC22" s="629">
        <f>+SUMIF($R$57:$U$57,"Yes",$R22:$U22)</f>
        <v>2086.5251438471537</v>
      </c>
      <c r="AD22" s="696"/>
      <c r="AE22" s="634"/>
      <c r="AF22" s="629" t="s">
        <v>192</v>
      </c>
      <c r="AG22" s="902" t="s">
        <v>192</v>
      </c>
      <c r="AH22" s="635"/>
      <c r="AJ22" s="610"/>
      <c r="AK22" s="610"/>
      <c r="AL22" s="610"/>
      <c r="AM22" s="610"/>
    </row>
    <row r="23" spans="1:39" s="636" customFormat="1" ht="15" customHeight="1">
      <c r="A23" s="626"/>
      <c r="B23" s="626"/>
      <c r="C23" s="626"/>
      <c r="D23" s="626"/>
      <c r="E23" s="626"/>
      <c r="F23" s="626"/>
      <c r="G23" s="1013"/>
      <c r="H23" s="1155" t="s">
        <v>157</v>
      </c>
      <c r="I23" s="1155"/>
      <c r="J23" s="1155"/>
      <c r="K23" s="1155"/>
      <c r="L23" s="1155"/>
      <c r="M23" s="1159"/>
      <c r="N23" s="630">
        <f>+CNO!N42</f>
        <v>530.28994999999998</v>
      </c>
      <c r="O23" s="629">
        <f>+CNO!O42</f>
        <v>181.86385999999999</v>
      </c>
      <c r="P23" s="629">
        <f>+CNO!P42</f>
        <v>321.03624000000002</v>
      </c>
      <c r="Q23" s="631">
        <f>+CNO!Q42</f>
        <v>-465.95787000000001</v>
      </c>
      <c r="R23" s="629">
        <f>+CNO!R42</f>
        <v>0</v>
      </c>
      <c r="S23" s="629">
        <f>+CNO!S42</f>
        <v>0</v>
      </c>
      <c r="T23" s="629"/>
      <c r="U23" s="629"/>
      <c r="V23" s="696"/>
      <c r="W23" s="634"/>
      <c r="X23" s="629" t="s">
        <v>192</v>
      </c>
      <c r="Y23" s="902" t="s">
        <v>192</v>
      </c>
      <c r="Z23" s="672"/>
      <c r="AA23" s="634"/>
      <c r="AB23" s="629">
        <f>+SUMIF($N$57:$Q$57,"Yes",$N23:$Q23)</f>
        <v>712.15381000000002</v>
      </c>
      <c r="AC23" s="629">
        <f>+SUMIF($R$57:$U$57,"Yes",$R23:$U23)</f>
        <v>0</v>
      </c>
      <c r="AD23" s="696"/>
      <c r="AE23" s="634"/>
      <c r="AF23" s="629" t="s">
        <v>192</v>
      </c>
      <c r="AG23" s="902" t="s">
        <v>192</v>
      </c>
      <c r="AH23" s="635"/>
      <c r="AJ23" s="610"/>
      <c r="AK23" s="610"/>
      <c r="AL23" s="610"/>
      <c r="AM23" s="610"/>
    </row>
    <row r="24" spans="1:39" s="610" customFormat="1" ht="15.75" customHeight="1" thickBot="1">
      <c r="A24" s="600"/>
      <c r="B24" s="600"/>
      <c r="C24" s="600"/>
      <c r="D24" s="600"/>
      <c r="E24" s="600"/>
      <c r="F24" s="600"/>
      <c r="G24" s="1000"/>
      <c r="H24" s="1156" t="s">
        <v>164</v>
      </c>
      <c r="I24" s="1156"/>
      <c r="J24" s="1156"/>
      <c r="K24" s="1156"/>
      <c r="L24" s="1156"/>
      <c r="M24" s="1156"/>
      <c r="N24" s="694">
        <f>+CNO!N44</f>
        <v>-8028.0547144653901</v>
      </c>
      <c r="O24" s="693">
        <f>+CNO!O44</f>
        <v>2747.8217460373789</v>
      </c>
      <c r="P24" s="693">
        <f>+CNO!P44</f>
        <v>3797.7442846701183</v>
      </c>
      <c r="Q24" s="1106">
        <f>+CNO!Q44</f>
        <v>-288.33208897344656</v>
      </c>
      <c r="R24" s="693">
        <f>+CNO!R44</f>
        <v>-6736.0619949549309</v>
      </c>
      <c r="S24" s="693">
        <f>+CNO!S44</f>
        <v>3832.2010579337739</v>
      </c>
      <c r="T24" s="695"/>
      <c r="U24" s="695"/>
      <c r="V24" s="692"/>
      <c r="W24" s="605"/>
      <c r="X24" s="669">
        <f>+SUMIF($N$4:$U$4,$B$1,$N24:$U24)-SUMIF($N$4:$U$4,$A$1,$N24:$U24)</f>
        <v>1084.3793118963949</v>
      </c>
      <c r="Y24" s="931">
        <f>IF(OR(ABS(IF(X24&lt;0,-ABS(X24/SUMIF($N$4:$U$4,$A$1,$N24:$U24)),ABS(X24/SUMIF($N$4:$U$4,$A$1,$N24:$U24))))&lt;minvar,ABS(IF(X24&lt;0,-ABS(X24/SUMIF($N$4:$U$4,$A$1,$N24:$U24)),ABS(X24/SUMIF($N$4:$U$4,$A$1,$N24:$U24))))&gt;maxvar)=TRUE,"nm",IF(X24&lt;0,-ABS(X24/SUMIF($N$4:$U$4,$A$1,$N24:$U24)),ABS(X24/SUMIF($N$4:$U$4,$A$1,$N24:$U24))))</f>
        <v>0.39463233503416784</v>
      </c>
      <c r="Z24" s="614"/>
      <c r="AA24" s="605"/>
      <c r="AB24" s="693">
        <f>+SUMIF($N$57:$Q$57,"Yes",$N24:$Q24)</f>
        <v>-5280.2329684280112</v>
      </c>
      <c r="AC24" s="693">
        <f>+SUMIF($R$57:$U$57,"Yes",$R24:$U24)</f>
        <v>-2903.860937021157</v>
      </c>
      <c r="AD24" s="692"/>
      <c r="AE24" s="605"/>
      <c r="AF24" s="693">
        <f>+$AC24-$AB24</f>
        <v>2376.3720314068541</v>
      </c>
      <c r="AG24" s="931">
        <f>IF(OR(ABS(IF(AF24&lt;0,-ABS(AF24/$AB24),ABS(AF24/$AB24)))&lt;minvar,ABS(IF(AF24&lt;0,-ABS(AF24/$AB24),ABS(AF24/$AB24)))&gt;maxvar)=TRUE,"nm",IF(AF24&lt;0,-ABS(AF24/$AB24),ABS(AF24/$AB24)))</f>
        <v>0.4500506029972251</v>
      </c>
      <c r="AH24" s="609"/>
    </row>
    <row r="25" spans="1:39" ht="15" thickTop="1">
      <c r="G25" s="1000"/>
      <c r="H25" s="147"/>
      <c r="I25" s="975"/>
      <c r="J25" s="147"/>
      <c r="K25" s="147"/>
      <c r="L25" s="147"/>
      <c r="M25" s="147"/>
      <c r="N25" s="303"/>
      <c r="O25" s="175"/>
      <c r="P25" s="175"/>
      <c r="Q25" s="175"/>
      <c r="R25" s="303"/>
      <c r="S25" s="175"/>
      <c r="T25" s="175"/>
      <c r="U25" s="175"/>
      <c r="V25" s="337"/>
      <c r="W25" s="257"/>
      <c r="X25" s="175"/>
      <c r="Y25" s="929"/>
      <c r="Z25" s="338"/>
      <c r="AA25" s="257"/>
      <c r="AB25" s="175"/>
      <c r="AC25" s="175"/>
      <c r="AD25" s="337"/>
      <c r="AE25" s="257"/>
      <c r="AF25" s="175"/>
      <c r="AG25" s="929"/>
      <c r="AH25"/>
      <c r="AJ25" s="610"/>
      <c r="AK25" s="610"/>
      <c r="AL25" s="610"/>
      <c r="AM25" s="610"/>
    </row>
    <row r="26" spans="1:39" ht="30" customHeight="1">
      <c r="G26" s="1135" t="s">
        <v>160</v>
      </c>
      <c r="H26" s="1157"/>
      <c r="I26" s="1157"/>
      <c r="J26" s="1157"/>
      <c r="K26" s="1157"/>
      <c r="L26" s="1157"/>
      <c r="M26" s="1157"/>
      <c r="N26" s="320"/>
      <c r="O26" s="319"/>
      <c r="P26" s="319"/>
      <c r="Q26" s="319"/>
      <c r="R26" s="320"/>
      <c r="S26" s="319"/>
      <c r="T26" s="319"/>
      <c r="U26" s="319"/>
      <c r="V26" s="337"/>
      <c r="W26" s="257"/>
      <c r="X26" s="319"/>
      <c r="Y26" s="959"/>
      <c r="Z26" s="338"/>
      <c r="AA26" s="257"/>
      <c r="AB26" s="319"/>
      <c r="AC26" s="319"/>
      <c r="AD26" s="337"/>
      <c r="AE26" s="257"/>
      <c r="AF26" s="319"/>
      <c r="AG26" s="959"/>
      <c r="AH26"/>
      <c r="AJ26" s="610"/>
      <c r="AK26" s="610"/>
      <c r="AL26" s="610"/>
      <c r="AM26" s="610"/>
    </row>
    <row r="27" spans="1:39" s="610" customFormat="1" ht="14.4">
      <c r="A27" s="600"/>
      <c r="B27" s="600"/>
      <c r="C27" s="600"/>
      <c r="D27" s="600"/>
      <c r="E27" s="600"/>
      <c r="F27" s="600"/>
      <c r="G27" s="972"/>
      <c r="H27" s="1133" t="s">
        <v>161</v>
      </c>
      <c r="I27" s="1133"/>
      <c r="J27" s="1133"/>
      <c r="K27" s="1133"/>
      <c r="L27" s="1133"/>
      <c r="M27" s="1133"/>
      <c r="N27" s="613">
        <f>+IS!N18</f>
        <v>804842.925647542</v>
      </c>
      <c r="O27" s="605">
        <f>+IS!O18</f>
        <v>793334.03889380489</v>
      </c>
      <c r="P27" s="605">
        <f>+IS!P18</f>
        <v>839851.89401720301</v>
      </c>
      <c r="Q27" s="605">
        <f>+IS!Q18</f>
        <v>853683.24450927821</v>
      </c>
      <c r="R27" s="613">
        <f>+IS!R18</f>
        <v>872693.12245528831</v>
      </c>
      <c r="S27" s="605">
        <f>+IS!S18</f>
        <v>865066.18036519911</v>
      </c>
      <c r="T27" s="691"/>
      <c r="U27" s="691"/>
      <c r="V27" s="692"/>
      <c r="W27" s="605"/>
      <c r="X27" s="601">
        <f>+SUMIF($N$4:$U$4,$B$1,$N27:$U27)-SUMIF($N$4:$U$4,$A$1,$N27:$U27)</f>
        <v>71732.141471394221</v>
      </c>
      <c r="Y27" s="926">
        <f>IF(OR(ABS(IF(X27&lt;0,-ABS(X27/SUMIF($N$4:$U$4,$A$1,$N27:$U27)),ABS(X27/SUMIF($N$4:$U$4,$A$1,$N27:$U27))))&lt;minvar,ABS(IF(X27&lt;0,-ABS(X27/SUMIF($N$4:$U$4,$A$1,$N27:$U27)),ABS(X27/SUMIF($N$4:$U$4,$A$1,$N27:$U27))))&gt;maxvar)=TRUE,"nm",IF(X27&lt;0,-ABS(X27/SUMIF($N$4:$U$4,$A$1,$N27:$U27)),ABS(X27/SUMIF($N$4:$U$4,$A$1,$N27:$U27))))</f>
        <v>9.0418585305396468E-2</v>
      </c>
      <c r="Z27" s="614"/>
      <c r="AA27" s="605"/>
      <c r="AB27" s="605">
        <f>+SUMIF($N$57:$Q$57,"Yes",$N27:$Q27)</f>
        <v>1598176.9645413468</v>
      </c>
      <c r="AC27" s="605">
        <f>+SUMIF($R$57:$U$57,"Yes",$R27:$U27)</f>
        <v>1737759.3028204874</v>
      </c>
      <c r="AD27" s="692"/>
      <c r="AE27" s="605"/>
      <c r="AF27" s="601">
        <f t="shared" ref="AF27:AF30" si="9">+$AC27-$AB27</f>
        <v>139582.33827914065</v>
      </c>
      <c r="AG27" s="926">
        <f>IF(OR(ABS(IF(AF27&lt;0,-ABS(AF27/$AB27),ABS(AF27/$AB27)))&lt;minvar,ABS(IF(AF27&lt;0,-ABS(AF27/$AB27),ABS(AF27/$AB27)))&gt;maxvar)=TRUE,"nm",IF(AF27&lt;0,-ABS(AF27/$AB27),ABS(AF27/$AB27)))</f>
        <v>8.7338474634565094E-2</v>
      </c>
      <c r="AH27" s="609"/>
    </row>
    <row r="28" spans="1:39" s="636" customFormat="1" ht="15" customHeight="1">
      <c r="A28" s="626"/>
      <c r="B28" s="626"/>
      <c r="C28" s="626"/>
      <c r="D28" s="626"/>
      <c r="E28" s="626"/>
      <c r="F28" s="626"/>
      <c r="G28" s="972"/>
      <c r="H28" s="1155" t="s">
        <v>852</v>
      </c>
      <c r="I28" s="1155"/>
      <c r="J28" s="1155"/>
      <c r="K28" s="1155"/>
      <c r="L28" s="1155"/>
      <c r="M28" s="1159"/>
      <c r="N28" s="630">
        <f>+IS!N16</f>
        <v>756.85824000000002</v>
      </c>
      <c r="O28" s="629">
        <f>+IS!O16</f>
        <v>-2865.960541993572</v>
      </c>
      <c r="P28" s="629">
        <f>+IS!P16</f>
        <v>652.12741000000005</v>
      </c>
      <c r="Q28" s="629">
        <f>+IS!Q16</f>
        <v>640.90015933123004</v>
      </c>
      <c r="R28" s="630">
        <f>+IS!R16</f>
        <v>395.75826999999998</v>
      </c>
      <c r="S28" s="629">
        <f>+IS!S16</f>
        <v>1690.7668738471536</v>
      </c>
      <c r="T28" s="629"/>
      <c r="U28" s="629"/>
      <c r="V28" s="696"/>
      <c r="W28" s="634"/>
      <c r="X28" s="629" t="s">
        <v>192</v>
      </c>
      <c r="Y28" s="902" t="s">
        <v>192</v>
      </c>
      <c r="Z28" s="672"/>
      <c r="AA28" s="634"/>
      <c r="AB28" s="629">
        <f>+SUMIF($N$57:$Q$57,"Yes",$N28:$Q28)</f>
        <v>-2109.1023019935719</v>
      </c>
      <c r="AC28" s="629">
        <f>+SUMIF($R$57:$U$57,"Yes",$R28:$U28)</f>
        <v>2086.5251438471537</v>
      </c>
      <c r="AD28" s="696"/>
      <c r="AE28" s="634"/>
      <c r="AF28" s="629" t="s">
        <v>192</v>
      </c>
      <c r="AG28" s="902" t="s">
        <v>192</v>
      </c>
      <c r="AH28" s="635"/>
      <c r="AJ28" s="610"/>
      <c r="AK28" s="610"/>
      <c r="AL28" s="610"/>
      <c r="AM28" s="610"/>
    </row>
    <row r="29" spans="1:39" s="636" customFormat="1" ht="15" customHeight="1">
      <c r="A29" s="626"/>
      <c r="B29" s="626"/>
      <c r="C29" s="626"/>
      <c r="D29" s="626"/>
      <c r="E29" s="626"/>
      <c r="F29" s="626"/>
      <c r="G29" s="972"/>
      <c r="H29" s="1155" t="s">
        <v>157</v>
      </c>
      <c r="I29" s="1155"/>
      <c r="J29" s="1155"/>
      <c r="K29" s="1155"/>
      <c r="L29" s="1155"/>
      <c r="M29" s="1159"/>
      <c r="N29" s="630">
        <f t="shared" ref="N29:S29" si="10">+N17</f>
        <v>530.28994999999998</v>
      </c>
      <c r="O29" s="629">
        <f t="shared" si="10"/>
        <v>181.86385999999999</v>
      </c>
      <c r="P29" s="629">
        <f t="shared" si="10"/>
        <v>321.03624000000002</v>
      </c>
      <c r="Q29" s="629">
        <f t="shared" si="10"/>
        <v>-465.95787000000001</v>
      </c>
      <c r="R29" s="630">
        <f t="shared" si="10"/>
        <v>0</v>
      </c>
      <c r="S29" s="629">
        <f t="shared" si="10"/>
        <v>0</v>
      </c>
      <c r="T29" s="629"/>
      <c r="U29" s="629"/>
      <c r="V29" s="696"/>
      <c r="W29" s="634"/>
      <c r="X29" s="629" t="s">
        <v>192</v>
      </c>
      <c r="Y29" s="902" t="s">
        <v>192</v>
      </c>
      <c r="Z29" s="672"/>
      <c r="AA29" s="634"/>
      <c r="AB29" s="629">
        <f>+SUMIF($N$57:$Q$57,"Yes",$N29:$Q29)</f>
        <v>712.15381000000002</v>
      </c>
      <c r="AC29" s="629">
        <f>+SUMIF($R$57:$U$57,"Yes",$R29:$U29)</f>
        <v>0</v>
      </c>
      <c r="AD29" s="696"/>
      <c r="AE29" s="634"/>
      <c r="AF29" s="629" t="s">
        <v>192</v>
      </c>
      <c r="AG29" s="902" t="s">
        <v>192</v>
      </c>
      <c r="AH29" s="635"/>
      <c r="AJ29" s="610"/>
      <c r="AK29" s="610"/>
      <c r="AL29" s="610"/>
      <c r="AM29" s="610"/>
    </row>
    <row r="30" spans="1:39" s="610" customFormat="1" ht="15" thickBot="1">
      <c r="A30" s="600"/>
      <c r="B30" s="600"/>
      <c r="C30" s="600"/>
      <c r="D30" s="600"/>
      <c r="E30" s="600"/>
      <c r="F30" s="600"/>
      <c r="G30" s="972"/>
      <c r="H30" s="1156" t="s">
        <v>163</v>
      </c>
      <c r="I30" s="1156"/>
      <c r="J30" s="1156"/>
      <c r="K30" s="1156"/>
      <c r="L30" s="1156"/>
      <c r="M30" s="1156"/>
      <c r="N30" s="694">
        <f t="shared" ref="N30:S30" si="11">+N27-SUM(N28:N29)</f>
        <v>803555.77745754202</v>
      </c>
      <c r="O30" s="693">
        <f t="shared" si="11"/>
        <v>796018.13557579846</v>
      </c>
      <c r="P30" s="693">
        <f t="shared" si="11"/>
        <v>838878.73036720301</v>
      </c>
      <c r="Q30" s="693">
        <f t="shared" si="11"/>
        <v>853508.30221994699</v>
      </c>
      <c r="R30" s="694">
        <f t="shared" si="11"/>
        <v>872297.36418528832</v>
      </c>
      <c r="S30" s="693">
        <f t="shared" si="11"/>
        <v>863375.413491352</v>
      </c>
      <c r="T30" s="695"/>
      <c r="U30" s="695"/>
      <c r="V30" s="692"/>
      <c r="W30" s="605"/>
      <c r="X30" s="669">
        <f>+SUMIF($N$4:$U$4,$B$1,$N30:$U30)-SUMIF($N$4:$U$4,$A$1,$N30:$U30)</f>
        <v>67357.277915553539</v>
      </c>
      <c r="Y30" s="931">
        <f>IF(OR(ABS(IF(X30&lt;0,-ABS(X30/SUMIF($N$4:$U$4,$A$1,$N30:$U30)),ABS(X30/SUMIF($N$4:$U$4,$A$1,$N30:$U30))))&lt;minvar,ABS(IF(X30&lt;0,-ABS(X30/SUMIF($N$4:$U$4,$A$1,$N30:$U30)),ABS(X30/SUMIF($N$4:$U$4,$A$1,$N30:$U30))))&gt;maxvar)=TRUE,"nm",IF(X30&lt;0,-ABS(X30/SUMIF($N$4:$U$4,$A$1,$N30:$U30)),ABS(X30/SUMIF($N$4:$U$4,$A$1,$N30:$U30))))</f>
        <v>8.4617767994482632E-2</v>
      </c>
      <c r="Z30" s="614"/>
      <c r="AA30" s="605"/>
      <c r="AB30" s="693">
        <f>+SUMIF($N$57:$Q$57,"Yes",$N30:$Q30)</f>
        <v>1599573.9130333406</v>
      </c>
      <c r="AC30" s="693">
        <f>+SUMIF($R$57:$U$57,"Yes",$R30:$U30)</f>
        <v>1735672.7776766403</v>
      </c>
      <c r="AD30" s="692"/>
      <c r="AE30" s="605"/>
      <c r="AF30" s="669">
        <f t="shared" si="9"/>
        <v>136098.86464329972</v>
      </c>
      <c r="AG30" s="931">
        <f>IF(OR(ABS(IF(AF30&lt;0,-ABS(AF30/$AB30),ABS(AF30/$AB30)))&lt;minvar,ABS(IF(AF30&lt;0,-ABS(AF30/$AB30),ABS(AF30/$AB30)))&gt;maxvar)=TRUE,"nm",IF(AF30&lt;0,-ABS(AF30/$AB30),ABS(AF30/$AB30)))</f>
        <v>8.5084448761238926E-2</v>
      </c>
      <c r="AH30" s="609"/>
    </row>
    <row r="31" spans="1:39" ht="15" thickTop="1">
      <c r="G31" s="972"/>
      <c r="H31" s="147"/>
      <c r="I31" s="975"/>
      <c r="J31" s="147"/>
      <c r="K31" s="147"/>
      <c r="L31" s="147"/>
      <c r="M31" s="147"/>
      <c r="N31" s="303"/>
      <c r="O31" s="175"/>
      <c r="P31" s="175"/>
      <c r="Q31" s="175"/>
      <c r="R31" s="303"/>
      <c r="S31" s="175"/>
      <c r="T31" s="175"/>
      <c r="U31" s="175"/>
      <c r="V31" s="337"/>
      <c r="W31" s="257"/>
      <c r="X31" s="175"/>
      <c r="Y31" s="929"/>
      <c r="Z31" s="338"/>
      <c r="AA31" s="257"/>
      <c r="AB31" s="175"/>
      <c r="AC31" s="175"/>
      <c r="AD31" s="337"/>
      <c r="AE31" s="257"/>
      <c r="AF31" s="175"/>
      <c r="AG31" s="929"/>
      <c r="AH31"/>
      <c r="AJ31" s="610"/>
      <c r="AK31" s="610"/>
      <c r="AL31" s="610"/>
      <c r="AM31" s="610"/>
    </row>
    <row r="32" spans="1:39" ht="30" customHeight="1">
      <c r="G32" s="1160" t="s">
        <v>909</v>
      </c>
      <c r="H32" s="1160"/>
      <c r="I32" s="1160"/>
      <c r="J32" s="1160"/>
      <c r="K32" s="1160"/>
      <c r="L32" s="1160"/>
      <c r="M32" s="1161"/>
      <c r="N32" s="320"/>
      <c r="O32" s="319"/>
      <c r="P32" s="319"/>
      <c r="Q32" s="319"/>
      <c r="R32" s="320"/>
      <c r="S32" s="319"/>
      <c r="T32" s="319"/>
      <c r="U32" s="319"/>
      <c r="V32" s="337"/>
      <c r="W32" s="257"/>
      <c r="X32" s="319"/>
      <c r="Y32" s="959"/>
      <c r="Z32" s="338"/>
      <c r="AA32" s="257"/>
      <c r="AB32" s="319"/>
      <c r="AC32" s="319"/>
      <c r="AD32" s="337"/>
      <c r="AE32" s="257"/>
      <c r="AF32" s="319"/>
      <c r="AG32" s="959"/>
      <c r="AH32"/>
      <c r="AJ32" s="610"/>
      <c r="AK32" s="610"/>
      <c r="AL32" s="610"/>
      <c r="AM32" s="610"/>
    </row>
    <row r="33" spans="1:39" s="610" customFormat="1" ht="14.4">
      <c r="A33" s="600"/>
      <c r="B33" s="600"/>
      <c r="C33" s="600"/>
      <c r="D33" s="600"/>
      <c r="E33" s="600"/>
      <c r="F33" s="600"/>
      <c r="G33" s="972"/>
      <c r="H33" s="1133" t="s">
        <v>113</v>
      </c>
      <c r="I33" s="1133"/>
      <c r="J33" s="1133"/>
      <c r="K33" s="1133"/>
      <c r="L33" s="1133"/>
      <c r="M33" s="1133"/>
      <c r="N33" s="613">
        <f>+IS!N32</f>
        <v>221314.84661476989</v>
      </c>
      <c r="O33" s="605">
        <f>+IS!O32</f>
        <v>234496.49775596522</v>
      </c>
      <c r="P33" s="605">
        <f>+IS!P32</f>
        <v>271678.67459948768</v>
      </c>
      <c r="Q33" s="605">
        <f>+IS!Q32</f>
        <v>247073.92775672651</v>
      </c>
      <c r="R33" s="613">
        <f>+IS!R32</f>
        <v>249418.30000565806</v>
      </c>
      <c r="S33" s="605">
        <f>+IS!S32</f>
        <v>258218.98864944035</v>
      </c>
      <c r="T33" s="691"/>
      <c r="U33" s="691"/>
      <c r="V33" s="692"/>
      <c r="W33" s="605"/>
      <c r="X33" s="601">
        <f>+SUMIF($N$4:$U$4,$B$1,$N33:$U33)-SUMIF($N$4:$U$4,$A$1,$N33:$U33)</f>
        <v>23722.490893475129</v>
      </c>
      <c r="Y33" s="926">
        <f>IF(OR(ABS(IF(X33&lt;0,-ABS(X33/SUMIF($N$4:$U$4,$A$1,$N33:$U33)),ABS(X33/SUMIF($N$4:$U$4,$A$1,$N33:$U33))))&lt;minvar,ABS(IF(X33&lt;0,-ABS(X33/SUMIF($N$4:$U$4,$A$1,$N33:$U33)),ABS(X33/SUMIF($N$4:$U$4,$A$1,$N33:$U33))))&gt;maxvar)=TRUE,"nm",IF(X33&lt;0,-ABS(X33/SUMIF($N$4:$U$4,$A$1,$N33:$U33)),ABS(X33/SUMIF($N$4:$U$4,$A$1,$N33:$U33))))</f>
        <v>0.10116351894586735</v>
      </c>
      <c r="Z33" s="614"/>
      <c r="AA33" s="605"/>
      <c r="AB33" s="605">
        <f>+SUMIF($N$57:$Q$57,"Yes",$N33:$Q33)</f>
        <v>455811.34437073511</v>
      </c>
      <c r="AC33" s="605">
        <f>+SUMIF($R$57:$U$57,"Yes",$R33:$U33)</f>
        <v>507637.28865509841</v>
      </c>
      <c r="AD33" s="692"/>
      <c r="AE33" s="605"/>
      <c r="AF33" s="601">
        <f>+$AC33-$AB33</f>
        <v>51825.944284363301</v>
      </c>
      <c r="AG33" s="926">
        <f>IF(OR(ABS(IF(AF33&lt;0,-ABS(AF33/$AB33),ABS(AF33/$AB33)))&lt;minvar,ABS(IF(AF33&lt;0,-ABS(AF33/$AB33),ABS(AF33/$AB33)))&gt;maxvar)=TRUE,"nm",IF(AF33&lt;0,-ABS(AF33/$AB33),ABS(AF33/$AB33)))</f>
        <v>0.11370042655676108</v>
      </c>
      <c r="AH33" s="609"/>
    </row>
    <row r="34" spans="1:39" s="636" customFormat="1" ht="15" customHeight="1">
      <c r="A34" s="626"/>
      <c r="B34" s="626"/>
      <c r="C34" s="626"/>
      <c r="D34" s="626"/>
      <c r="E34" s="626"/>
      <c r="F34" s="626"/>
      <c r="G34" s="972"/>
      <c r="H34" s="1155" t="s">
        <v>852</v>
      </c>
      <c r="I34" s="1155"/>
      <c r="J34" s="1155"/>
      <c r="K34" s="1155"/>
      <c r="L34" s="1155"/>
      <c r="M34" s="1159"/>
      <c r="N34" s="630">
        <f t="shared" ref="N34:R35" si="12">+N28</f>
        <v>756.85824000000002</v>
      </c>
      <c r="O34" s="629">
        <f t="shared" si="12"/>
        <v>-2865.960541993572</v>
      </c>
      <c r="P34" s="629">
        <f t="shared" si="12"/>
        <v>652.12741000000005</v>
      </c>
      <c r="Q34" s="629">
        <f t="shared" si="12"/>
        <v>640.90015933123004</v>
      </c>
      <c r="R34" s="630">
        <f t="shared" si="12"/>
        <v>395.75826999999998</v>
      </c>
      <c r="S34" s="629">
        <f t="shared" ref="S34" si="13">+S28</f>
        <v>1690.7668738471536</v>
      </c>
      <c r="T34" s="629"/>
      <c r="U34" s="629"/>
      <c r="V34" s="696"/>
      <c r="W34" s="634"/>
      <c r="X34" s="629" t="s">
        <v>192</v>
      </c>
      <c r="Y34" s="902" t="s">
        <v>192</v>
      </c>
      <c r="Z34" s="672"/>
      <c r="AA34" s="634"/>
      <c r="AB34" s="629">
        <f>+SUMIF($N$57:$Q$57,"Yes",$N34:$Q34)</f>
        <v>-2109.1023019935719</v>
      </c>
      <c r="AC34" s="629">
        <f>+SUMIF($R$57:$U$57,"Yes",$R34:$U34)</f>
        <v>2086.5251438471537</v>
      </c>
      <c r="AD34" s="696"/>
      <c r="AE34" s="634"/>
      <c r="AF34" s="629" t="s">
        <v>192</v>
      </c>
      <c r="AG34" s="902" t="s">
        <v>192</v>
      </c>
      <c r="AH34" s="635"/>
      <c r="AJ34" s="610"/>
      <c r="AK34" s="610"/>
      <c r="AL34" s="610"/>
      <c r="AM34" s="610"/>
    </row>
    <row r="35" spans="1:39" s="636" customFormat="1" ht="15" customHeight="1">
      <c r="A35" s="626"/>
      <c r="B35" s="626"/>
      <c r="C35" s="626"/>
      <c r="D35" s="626"/>
      <c r="E35" s="626"/>
      <c r="F35" s="626"/>
      <c r="G35" s="972"/>
      <c r="H35" s="1155" t="s">
        <v>157</v>
      </c>
      <c r="I35" s="1155"/>
      <c r="J35" s="1155"/>
      <c r="K35" s="1155"/>
      <c r="L35" s="1155"/>
      <c r="M35" s="1159"/>
      <c r="N35" s="630">
        <f t="shared" si="12"/>
        <v>530.28994999999998</v>
      </c>
      <c r="O35" s="629">
        <f t="shared" si="12"/>
        <v>181.86385999999999</v>
      </c>
      <c r="P35" s="629">
        <f t="shared" si="12"/>
        <v>321.03624000000002</v>
      </c>
      <c r="Q35" s="629">
        <f t="shared" si="12"/>
        <v>-465.95787000000001</v>
      </c>
      <c r="R35" s="630">
        <f t="shared" si="12"/>
        <v>0</v>
      </c>
      <c r="S35" s="629">
        <f t="shared" ref="S35" si="14">+S29</f>
        <v>0</v>
      </c>
      <c r="T35" s="629"/>
      <c r="U35" s="629"/>
      <c r="V35" s="696"/>
      <c r="W35" s="634"/>
      <c r="X35" s="629" t="s">
        <v>192</v>
      </c>
      <c r="Y35" s="902" t="s">
        <v>192</v>
      </c>
      <c r="Z35" s="672"/>
      <c r="AA35" s="634"/>
      <c r="AB35" s="629">
        <f>+SUMIF($N$57:$Q$57,"Yes",$N35:$Q35)</f>
        <v>712.15381000000002</v>
      </c>
      <c r="AC35" s="629">
        <f>+SUMIF($R$57:$U$57,"Yes",$R35:$U35)</f>
        <v>0</v>
      </c>
      <c r="AD35" s="696"/>
      <c r="AE35" s="634"/>
      <c r="AF35" s="629" t="s">
        <v>192</v>
      </c>
      <c r="AG35" s="902" t="s">
        <v>192</v>
      </c>
      <c r="AH35" s="635"/>
      <c r="AJ35" s="610"/>
      <c r="AK35" s="610"/>
      <c r="AL35" s="610"/>
      <c r="AM35" s="610"/>
    </row>
    <row r="36" spans="1:39" s="610" customFormat="1" ht="15" thickBot="1">
      <c r="A36" s="600"/>
      <c r="B36" s="600"/>
      <c r="C36" s="600"/>
      <c r="D36" s="600"/>
      <c r="E36" s="600"/>
      <c r="F36" s="600"/>
      <c r="G36" s="972"/>
      <c r="H36" s="1156" t="s">
        <v>164</v>
      </c>
      <c r="I36" s="1156"/>
      <c r="J36" s="1156"/>
      <c r="K36" s="1156"/>
      <c r="L36" s="1156"/>
      <c r="M36" s="1156"/>
      <c r="N36" s="694">
        <f t="shared" ref="N36:S36" si="15">+N33-SUM(N34:N35)</f>
        <v>220027.69842476989</v>
      </c>
      <c r="O36" s="693">
        <f t="shared" si="15"/>
        <v>237180.59443795879</v>
      </c>
      <c r="P36" s="693">
        <f t="shared" si="15"/>
        <v>270705.51094948768</v>
      </c>
      <c r="Q36" s="693">
        <f t="shared" si="15"/>
        <v>246898.98546739528</v>
      </c>
      <c r="R36" s="694">
        <f t="shared" si="15"/>
        <v>249022.54173565807</v>
      </c>
      <c r="S36" s="693">
        <f t="shared" si="15"/>
        <v>256528.22177559321</v>
      </c>
      <c r="T36" s="695"/>
      <c r="U36" s="695"/>
      <c r="V36" s="692"/>
      <c r="W36" s="605"/>
      <c r="X36" s="669">
        <f>+SUMIF($N$4:$U$4,$B$1,$N36:$U36)-SUMIF($N$4:$U$4,$A$1,$N36:$U36)</f>
        <v>19347.627337634418</v>
      </c>
      <c r="Y36" s="931">
        <f>IF(OR(ABS(IF(X36&lt;0,-ABS(X36/SUMIF($N$4:$U$4,$A$1,$N36:$U36)),ABS(X36/SUMIF($N$4:$U$4,$A$1,$N36:$U36))))&lt;minvar,ABS(IF(X36&lt;0,-ABS(X36/SUMIF($N$4:$U$4,$A$1,$N36:$U36)),ABS(X36/SUMIF($N$4:$U$4,$A$1,$N36:$U36))))&gt;maxvar)=TRUE,"nm",IF(X36&lt;0,-ABS(X36/SUMIF($N$4:$U$4,$A$1,$N36:$U36)),ABS(X36/SUMIF($N$4:$U$4,$A$1,$N36:$U36))))</f>
        <v>8.1573399305630512E-2</v>
      </c>
      <c r="Z36" s="614"/>
      <c r="AA36" s="605"/>
      <c r="AB36" s="693">
        <f>+SUMIF($N$57:$Q$57,"Yes",$N36:$Q36)</f>
        <v>457208.2928627287</v>
      </c>
      <c r="AC36" s="693">
        <f>+SUMIF($R$57:$U$57,"Yes",$R36:$U36)</f>
        <v>505550.76351125131</v>
      </c>
      <c r="AD36" s="692"/>
      <c r="AE36" s="605"/>
      <c r="AF36" s="669">
        <f t="shared" ref="AF36" si="16">+$AC36-$AB36</f>
        <v>48342.470648522605</v>
      </c>
      <c r="AG36" s="931">
        <f>IF(OR(ABS(IF(AF36&lt;0,-ABS(AF36/$AB36),ABS(AF36/$AB36)))&lt;minvar,ABS(IF(AF36&lt;0,-ABS(AF36/$AB36),ABS(AF36/$AB36)))&gt;maxvar)=TRUE,"nm",IF(AF36&lt;0,-ABS(AF36/$AB36),ABS(AF36/$AB36)))</f>
        <v>0.10573401970868637</v>
      </c>
      <c r="AH36" s="609"/>
    </row>
    <row r="37" spans="1:39" ht="15" thickTop="1">
      <c r="G37" s="972"/>
      <c r="H37" s="147"/>
      <c r="I37" s="975"/>
      <c r="J37" s="147"/>
      <c r="K37" s="147"/>
      <c r="L37" s="147"/>
      <c r="M37" s="147"/>
      <c r="N37" s="303"/>
      <c r="O37" s="175"/>
      <c r="P37" s="175"/>
      <c r="Q37" s="175"/>
      <c r="R37" s="303"/>
      <c r="S37" s="175"/>
      <c r="T37" s="175"/>
      <c r="U37" s="175"/>
      <c r="V37" s="337"/>
      <c r="W37" s="257"/>
      <c r="X37" s="175"/>
      <c r="Y37" s="902"/>
      <c r="Z37" s="338"/>
      <c r="AA37" s="257"/>
      <c r="AB37" s="175"/>
      <c r="AC37" s="175"/>
      <c r="AD37" s="337"/>
      <c r="AE37" s="257"/>
      <c r="AF37" s="175"/>
      <c r="AG37" s="902"/>
      <c r="AH37"/>
      <c r="AJ37" s="610"/>
      <c r="AK37" s="610"/>
      <c r="AL37" s="610"/>
      <c r="AM37" s="610"/>
    </row>
    <row r="38" spans="1:39" ht="30" customHeight="1">
      <c r="G38" s="1135" t="s">
        <v>910</v>
      </c>
      <c r="H38" s="1157"/>
      <c r="I38" s="1157"/>
      <c r="J38" s="1157"/>
      <c r="K38" s="1157"/>
      <c r="L38" s="1157"/>
      <c r="M38" s="1157"/>
      <c r="N38" s="344"/>
      <c r="O38" s="343"/>
      <c r="P38" s="343"/>
      <c r="Q38" s="343"/>
      <c r="R38" s="344"/>
      <c r="S38" s="343"/>
      <c r="T38" s="343"/>
      <c r="U38" s="343"/>
      <c r="V38" s="337"/>
      <c r="W38" s="257"/>
      <c r="X38" s="319"/>
      <c r="Y38" s="959"/>
      <c r="Z38" s="338"/>
      <c r="AA38" s="257"/>
      <c r="AB38" s="319"/>
      <c r="AC38" s="319"/>
      <c r="AD38" s="337"/>
      <c r="AE38" s="257"/>
      <c r="AF38" s="319"/>
      <c r="AG38" s="959"/>
      <c r="AH38"/>
      <c r="AJ38" s="610"/>
      <c r="AK38" s="610"/>
      <c r="AL38" s="610"/>
      <c r="AM38" s="610"/>
    </row>
    <row r="39" spans="1:39" s="610" customFormat="1" ht="14.4">
      <c r="A39" s="600"/>
      <c r="B39" s="600"/>
      <c r="C39" s="600"/>
      <c r="D39" s="600"/>
      <c r="E39" s="600"/>
      <c r="F39" s="600"/>
      <c r="G39" s="972"/>
      <c r="H39" s="1133" t="s">
        <v>900</v>
      </c>
      <c r="I39" s="1133"/>
      <c r="J39" s="1133"/>
      <c r="K39" s="1133"/>
      <c r="L39" s="1133"/>
      <c r="M39" s="1133"/>
      <c r="N39" s="613">
        <f>+IS!N34</f>
        <v>169050.9504055336</v>
      </c>
      <c r="O39" s="605">
        <f>+IS!O34</f>
        <v>178343.55839110183</v>
      </c>
      <c r="P39" s="605">
        <f>+IS!P34</f>
        <v>206792.74137916317</v>
      </c>
      <c r="Q39" s="605">
        <f>+IS!Q34</f>
        <v>197046.61982498443</v>
      </c>
      <c r="R39" s="613">
        <f>+IS!R34</f>
        <v>190096.02017298818</v>
      </c>
      <c r="S39" s="605">
        <f>+IS!S34</f>
        <v>202278.2967566647</v>
      </c>
      <c r="T39" s="691"/>
      <c r="U39" s="691"/>
      <c r="V39" s="692"/>
      <c r="W39" s="605"/>
      <c r="X39" s="601">
        <f>+SUMIF($N$4:$U$4,$B$1,$N39:$U39)-SUMIF($N$4:$U$4,$A$1,$N39:$U39)</f>
        <v>23934.738365562866</v>
      </c>
      <c r="Y39" s="926">
        <f>IF(OR(ABS(IF(X39&lt;0,-ABS(X39/SUMIF($N$4:$U$4,$A$1,$N39:$U39)),ABS(X39/SUMIF($N$4:$U$4,$A$1,$N39:$U39))))&lt;minvar,ABS(IF(X39&lt;0,-ABS(X39/SUMIF($N$4:$U$4,$A$1,$N39:$U39)),ABS(X39/SUMIF($N$4:$U$4,$A$1,$N39:$U39))))&gt;maxvar)=TRUE,"nm",IF(X39&lt;0,-ABS(X39/SUMIF($N$4:$U$4,$A$1,$N39:$U39)),ABS(X39/SUMIF($N$4:$U$4,$A$1,$N39:$U39))))</f>
        <v>0.13420579123511001</v>
      </c>
      <c r="Z39" s="614"/>
      <c r="AA39" s="605"/>
      <c r="AB39" s="605">
        <f>+SUMIF($N$57:$Q$57,"Yes",$N39:$Q39)</f>
        <v>347394.50879663543</v>
      </c>
      <c r="AC39" s="605">
        <f>+SUMIF($R$57:$U$57,"Yes",$R39:$U39)</f>
        <v>392374.31692965288</v>
      </c>
      <c r="AD39" s="692"/>
      <c r="AE39" s="605"/>
      <c r="AF39" s="601">
        <f t="shared" ref="AF39:AF43" si="17">+$AC39-$AB39</f>
        <v>44979.808133017446</v>
      </c>
      <c r="AG39" s="926">
        <f>IF(OR(ABS(IF(AF39&lt;0,-ABS(AF39/$AB39),ABS(AF39/$AB39)))&lt;minvar,ABS(IF(AF39&lt;0,-ABS(AF39/$AB39),ABS(AF39/$AB39)))&gt;maxvar)=TRUE,"nm",IF(AF39&lt;0,-ABS(AF39/$AB39),ABS(AF39/$AB39)))</f>
        <v>0.12947760253559046</v>
      </c>
      <c r="AH39" s="609"/>
    </row>
    <row r="40" spans="1:39" s="636" customFormat="1" ht="15" customHeight="1">
      <c r="A40" s="626"/>
      <c r="B40" s="626"/>
      <c r="C40" s="626"/>
      <c r="D40" s="626"/>
      <c r="E40" s="626"/>
      <c r="F40" s="626"/>
      <c r="G40" s="972"/>
      <c r="H40" s="1155" t="s">
        <v>852</v>
      </c>
      <c r="I40" s="1155"/>
      <c r="J40" s="1155"/>
      <c r="K40" s="1155"/>
      <c r="L40" s="1155"/>
      <c r="M40" s="1159"/>
      <c r="N40" s="630">
        <f t="shared" ref="N40:R41" si="18">+N34</f>
        <v>756.85824000000002</v>
      </c>
      <c r="O40" s="629">
        <f t="shared" si="18"/>
        <v>-2865.960541993572</v>
      </c>
      <c r="P40" s="629">
        <f t="shared" si="18"/>
        <v>652.12741000000005</v>
      </c>
      <c r="Q40" s="629">
        <f t="shared" si="18"/>
        <v>640.90015933123004</v>
      </c>
      <c r="R40" s="630">
        <f t="shared" si="18"/>
        <v>395.75826999999998</v>
      </c>
      <c r="S40" s="629">
        <f t="shared" ref="S40" si="19">+S34</f>
        <v>1690.7668738471536</v>
      </c>
      <c r="T40" s="629"/>
      <c r="U40" s="629"/>
      <c r="V40" s="696"/>
      <c r="W40" s="634"/>
      <c r="X40" s="629" t="s">
        <v>192</v>
      </c>
      <c r="Y40" s="902" t="s">
        <v>192</v>
      </c>
      <c r="Z40" s="672"/>
      <c r="AA40" s="634"/>
      <c r="AB40" s="629">
        <f>+SUMIF($N$57:$Q$57,"Yes",$N40:$Q40)</f>
        <v>-2109.1023019935719</v>
      </c>
      <c r="AC40" s="629">
        <f>+SUMIF($R$57:$U$57,"Yes",$R40:$U40)</f>
        <v>2086.5251438471537</v>
      </c>
      <c r="AD40" s="696"/>
      <c r="AE40" s="634"/>
      <c r="AF40" s="629" t="s">
        <v>192</v>
      </c>
      <c r="AG40" s="902" t="s">
        <v>192</v>
      </c>
      <c r="AH40" s="635"/>
      <c r="AJ40" s="610"/>
      <c r="AK40" s="610"/>
      <c r="AL40" s="610"/>
      <c r="AM40" s="610"/>
    </row>
    <row r="41" spans="1:39" s="636" customFormat="1" ht="15" customHeight="1">
      <c r="A41" s="626"/>
      <c r="B41" s="626"/>
      <c r="C41" s="626"/>
      <c r="D41" s="626"/>
      <c r="E41" s="626"/>
      <c r="F41" s="626"/>
      <c r="G41" s="972"/>
      <c r="H41" s="1155" t="s">
        <v>157</v>
      </c>
      <c r="I41" s="1155"/>
      <c r="J41" s="1155"/>
      <c r="K41" s="1155"/>
      <c r="L41" s="1155"/>
      <c r="M41" s="1159"/>
      <c r="N41" s="630">
        <f t="shared" si="18"/>
        <v>530.28994999999998</v>
      </c>
      <c r="O41" s="629">
        <f t="shared" si="18"/>
        <v>181.86385999999999</v>
      </c>
      <c r="P41" s="629">
        <f t="shared" si="18"/>
        <v>321.03624000000002</v>
      </c>
      <c r="Q41" s="629">
        <f t="shared" si="18"/>
        <v>-465.95787000000001</v>
      </c>
      <c r="R41" s="630">
        <f t="shared" si="18"/>
        <v>0</v>
      </c>
      <c r="S41" s="629">
        <f t="shared" ref="S41" si="20">+S35</f>
        <v>0</v>
      </c>
      <c r="T41" s="629"/>
      <c r="U41" s="629"/>
      <c r="V41" s="696"/>
      <c r="W41" s="634"/>
      <c r="X41" s="629" t="s">
        <v>192</v>
      </c>
      <c r="Y41" s="902" t="s">
        <v>192</v>
      </c>
      <c r="Z41" s="672"/>
      <c r="AA41" s="634"/>
      <c r="AB41" s="629">
        <f>+SUMIF($N$57:$Q$57,"Yes",$N41:$Q41)</f>
        <v>712.15381000000002</v>
      </c>
      <c r="AC41" s="629">
        <f>+SUMIF($R$57:$U$57,"Yes",$R41:$U41)</f>
        <v>0</v>
      </c>
      <c r="AD41" s="696"/>
      <c r="AE41" s="634"/>
      <c r="AF41" s="629" t="s">
        <v>192</v>
      </c>
      <c r="AG41" s="902" t="s">
        <v>192</v>
      </c>
      <c r="AH41" s="635"/>
      <c r="AJ41" s="610"/>
      <c r="AK41" s="610"/>
      <c r="AL41" s="610"/>
      <c r="AM41" s="610"/>
    </row>
    <row r="42" spans="1:39" s="636" customFormat="1" ht="15" customHeight="1">
      <c r="A42" s="626"/>
      <c r="B42" s="626"/>
      <c r="C42" s="626"/>
      <c r="D42" s="626"/>
      <c r="E42" s="626"/>
      <c r="F42" s="626"/>
      <c r="G42" s="972"/>
      <c r="H42" s="1155" t="s">
        <v>857</v>
      </c>
      <c r="I42" s="1155"/>
      <c r="J42" s="1155"/>
      <c r="K42" s="1155"/>
      <c r="L42" s="1155"/>
      <c r="M42" s="1155"/>
      <c r="N42" s="679">
        <f>+IF(AND(N$4=$B$1,IS!$C$33="Yes"),SUM(N40:N41)*-IS!$E$33,IS!N150)</f>
        <v>-303.96199999999999</v>
      </c>
      <c r="O42" s="632">
        <f>+IF(AND(O$4=$B$1,IS!$C$33="Yes"),SUM(O40:O41)*-IS!$E$33,IS!O150)</f>
        <v>642.73800000000006</v>
      </c>
      <c r="P42" s="628">
        <f>+IF(AND(P$4=$B$1,IS!$C$33="Yes"),SUM(P40:P41)*-IS!$E$33,IS!P150)</f>
        <v>-232.42400000000001</v>
      </c>
      <c r="Q42" s="628">
        <f>+IF(AND(Q$4=$B$1,IS!$C$33="Yes"),SUM(Q40:Q41)*-IS!$E$33,IS!Q150)</f>
        <v>-35.421999999999997</v>
      </c>
      <c r="R42" s="630">
        <f>+IF(AND(R$4=$B$1,IS!$C$33="Yes"),SUM(R40:R41)*-IS!$E$33,IS!R150)</f>
        <v>-94.128</v>
      </c>
      <c r="S42" s="628">
        <f>+IF(AND(S$4=$B$1,IS!$C$33="Yes"),SUM(S40:S41)*-IS!$E$33,IS!S150)</f>
        <v>-366.28899999999999</v>
      </c>
      <c r="T42" s="629"/>
      <c r="U42" s="629"/>
      <c r="V42" s="696"/>
      <c r="W42" s="634"/>
      <c r="X42" s="629" t="s">
        <v>192</v>
      </c>
      <c r="Y42" s="902" t="s">
        <v>192</v>
      </c>
      <c r="Z42" s="672"/>
      <c r="AA42" s="634"/>
      <c r="AB42" s="629">
        <f>+SUMIF($N$57:$Q$57,"Yes",$N42:$Q42)</f>
        <v>338.77600000000007</v>
      </c>
      <c r="AC42" s="629">
        <f>+SUMIF($R$57:$U$57,"Yes",$R42:$U42)</f>
        <v>-460.41699999999997</v>
      </c>
      <c r="AD42" s="696"/>
      <c r="AE42" s="634"/>
      <c r="AF42" s="629" t="s">
        <v>192</v>
      </c>
      <c r="AG42" s="902" t="s">
        <v>192</v>
      </c>
      <c r="AH42" s="635"/>
      <c r="AJ42" s="610"/>
      <c r="AK42" s="610"/>
      <c r="AL42" s="610"/>
      <c r="AM42" s="610"/>
    </row>
    <row r="43" spans="1:39" s="610" customFormat="1" ht="15" thickBot="1">
      <c r="A43" s="600"/>
      <c r="B43" s="600"/>
      <c r="C43" s="600"/>
      <c r="D43" s="600"/>
      <c r="E43" s="600"/>
      <c r="F43" s="600"/>
      <c r="G43" s="972"/>
      <c r="H43" s="1156" t="s">
        <v>165</v>
      </c>
      <c r="I43" s="1156"/>
      <c r="J43" s="1156"/>
      <c r="K43" s="1156"/>
      <c r="L43" s="1156"/>
      <c r="M43" s="1156"/>
      <c r="N43" s="1107">
        <f t="shared" ref="N43:S43" si="21">+N39-SUM(N40:N42)</f>
        <v>168067.76421553359</v>
      </c>
      <c r="O43" s="1108">
        <f t="shared" si="21"/>
        <v>180384.91707309539</v>
      </c>
      <c r="P43" s="693">
        <f t="shared" si="21"/>
        <v>206052.00172916317</v>
      </c>
      <c r="Q43" s="693">
        <f t="shared" si="21"/>
        <v>196907.09953565319</v>
      </c>
      <c r="R43" s="694">
        <f t="shared" si="21"/>
        <v>189794.38990298819</v>
      </c>
      <c r="S43" s="693">
        <f t="shared" si="21"/>
        <v>200953.81888281755</v>
      </c>
      <c r="T43" s="695"/>
      <c r="U43" s="695"/>
      <c r="V43" s="692"/>
      <c r="W43" s="605"/>
      <c r="X43" s="669">
        <f>+SUMIF($N$4:$U$4,$B$1,$N43:$U43)-SUMIF($N$4:$U$4,$A$1,$N43:$U43)</f>
        <v>20568.901809722156</v>
      </c>
      <c r="Y43" s="931">
        <f>IF(OR(ABS(IF(X43&lt;0,-ABS(X43/SUMIF($N$4:$U$4,$A$1,$N43:$U43)),ABS(X43/SUMIF($N$4:$U$4,$A$1,$N43:$U43))))&lt;minvar,ABS(IF(X43&lt;0,-ABS(X43/SUMIF($N$4:$U$4,$A$1,$N43:$U43)),ABS(X43/SUMIF($N$4:$U$4,$A$1,$N43:$U43))))&gt;maxvar)=TRUE,"nm",IF(X43&lt;0,-ABS(X43/SUMIF($N$4:$U$4,$A$1,$N43:$U43)),ABS(X43/SUMIF($N$4:$U$4,$A$1,$N43:$U43))))</f>
        <v>0.11402783638161525</v>
      </c>
      <c r="Z43" s="614"/>
      <c r="AA43" s="605"/>
      <c r="AB43" s="693">
        <f>+SUMIF($N$57:$Q$57,"Yes",$N43:$Q43)</f>
        <v>348452.68128862896</v>
      </c>
      <c r="AC43" s="693">
        <f>+SUMIF($R$57:$U$57,"Yes",$R43:$U43)</f>
        <v>390748.20878580573</v>
      </c>
      <c r="AD43" s="692"/>
      <c r="AE43" s="605"/>
      <c r="AF43" s="669">
        <f t="shared" si="17"/>
        <v>42295.527497176779</v>
      </c>
      <c r="AG43" s="931">
        <f>IF(OR(ABS(IF(AF43&lt;0,-ABS(AF43/$AB43),ABS(AF43/$AB43)))&lt;minvar,ABS(IF(AF43&lt;0,-ABS(AF43/$AB43),ABS(AF43/$AB43)))&gt;maxvar)=TRUE,"nm",IF(AF43&lt;0,-ABS(AF43/$AB43),ABS(AF43/$AB43)))</f>
        <v>0.12138097873364537</v>
      </c>
      <c r="AH43" s="609"/>
    </row>
    <row r="44" spans="1:39" ht="15" thickTop="1">
      <c r="AH44"/>
    </row>
    <row r="45" spans="1:39" ht="14.4">
      <c r="G45" s="969"/>
      <c r="H45" s="160"/>
      <c r="I45" s="160"/>
      <c r="J45" s="160"/>
      <c r="K45" s="160"/>
      <c r="L45" s="160"/>
      <c r="M45" s="160"/>
      <c r="N45" s="160"/>
      <c r="O45" s="160"/>
      <c r="P45" s="160"/>
      <c r="Q45" s="160"/>
      <c r="R45" s="160"/>
      <c r="S45" s="160"/>
      <c r="T45" s="417"/>
      <c r="U45" s="417"/>
      <c r="V45" s="160"/>
      <c r="W45" s="160"/>
      <c r="X45" s="160"/>
      <c r="Y45" s="680"/>
      <c r="Z45" s="160"/>
      <c r="AA45" s="160"/>
      <c r="AB45" s="160"/>
      <c r="AC45" s="160"/>
      <c r="AD45" s="160"/>
      <c r="AE45" s="160"/>
      <c r="AF45" s="160"/>
      <c r="AG45" s="680"/>
      <c r="AH45"/>
    </row>
    <row r="46" spans="1:39" ht="14.4">
      <c r="AH46"/>
    </row>
    <row r="47" spans="1:39" ht="15" customHeight="1">
      <c r="AH47"/>
    </row>
    <row r="56" spans="14:21">
      <c r="N56" s="252" t="str">
        <f>+IS!N$57</f>
        <v>2025 - Q1</v>
      </c>
      <c r="O56" s="252" t="str">
        <f>+IS!O$57</f>
        <v>2025 - Q2</v>
      </c>
      <c r="P56" s="252" t="str">
        <f>+IS!P$57</f>
        <v>2025 - Q3</v>
      </c>
      <c r="Q56" s="252" t="str">
        <f>+IS!Q$57</f>
        <v>2025 - Q4</v>
      </c>
      <c r="R56" s="273" t="str">
        <f>+IS!R$57</f>
        <v>2026 - Q1</v>
      </c>
      <c r="S56" s="346" t="str">
        <f>+IS!S$57</f>
        <v>2026 - Q2</v>
      </c>
      <c r="T56" s="346" t="str">
        <f>+IS!T$57</f>
        <v>2026 - Q3</v>
      </c>
      <c r="U56" s="346" t="str">
        <f>+IS!U$57</f>
        <v>2026 - Q4</v>
      </c>
    </row>
    <row r="57" spans="14:21">
      <c r="N57" s="252" t="str">
        <f t="shared" ref="N57:T57" si="22">+IF(RIGHT(LEFT(N$4,2),1)&lt;=RIGHT(LEFT($B$1,2),1),"Yes","")</f>
        <v>Yes</v>
      </c>
      <c r="O57" s="252" t="str">
        <f t="shared" si="22"/>
        <v>Yes</v>
      </c>
      <c r="P57" s="252" t="str">
        <f t="shared" si="22"/>
        <v/>
      </c>
      <c r="Q57" s="252" t="str">
        <f t="shared" si="22"/>
        <v/>
      </c>
      <c r="R57" s="273" t="str">
        <f t="shared" si="22"/>
        <v>Yes</v>
      </c>
      <c r="S57" s="346" t="str">
        <f t="shared" si="22"/>
        <v>Yes</v>
      </c>
      <c r="T57" s="346" t="str">
        <f t="shared" si="22"/>
        <v/>
      </c>
      <c r="U57" s="346" t="str">
        <f>+IF(RIGHT(LEFT(U$4,2),1)&lt;=RIGHT(LEFT($B$1,2),1),"Yes","")</f>
        <v/>
      </c>
    </row>
  </sheetData>
  <sheetProtection formatCells="0"/>
  <mergeCells count="38">
    <mergeCell ref="H43:M43"/>
    <mergeCell ref="H41:M41"/>
    <mergeCell ref="H36:M36"/>
    <mergeCell ref="G38:M38"/>
    <mergeCell ref="H39:M39"/>
    <mergeCell ref="H40:M40"/>
    <mergeCell ref="G15:M15"/>
    <mergeCell ref="G20:M20"/>
    <mergeCell ref="H21:M21"/>
    <mergeCell ref="H22:M22"/>
    <mergeCell ref="H42:M42"/>
    <mergeCell ref="H23:M23"/>
    <mergeCell ref="G26:M26"/>
    <mergeCell ref="H27:M27"/>
    <mergeCell ref="H28:M28"/>
    <mergeCell ref="H29:M29"/>
    <mergeCell ref="H30:M30"/>
    <mergeCell ref="G32:M32"/>
    <mergeCell ref="H33:M33"/>
    <mergeCell ref="H34:M34"/>
    <mergeCell ref="H35:M35"/>
    <mergeCell ref="H24:M24"/>
    <mergeCell ref="H16:M16"/>
    <mergeCell ref="H17:M17"/>
    <mergeCell ref="H18:M18"/>
    <mergeCell ref="H1:AB1"/>
    <mergeCell ref="AC1:AG1"/>
    <mergeCell ref="G10:M10"/>
    <mergeCell ref="G4:M4"/>
    <mergeCell ref="G5:M5"/>
    <mergeCell ref="H6:M6"/>
    <mergeCell ref="H7:M7"/>
    <mergeCell ref="H8:M8"/>
    <mergeCell ref="X3:Y3"/>
    <mergeCell ref="AF3:AG3"/>
    <mergeCell ref="H11:M11"/>
    <mergeCell ref="H12:M12"/>
    <mergeCell ref="H13:M13"/>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 id="4ce08b896ee641c08662006044e7b122">H4sIAAAAAAAEAO2dS2/cyBGA7wHyHwYD5OStVb8fwtiLwNkABoIgiH3KZdCPaonYeSgk5UcW+WU55CflL6Q5kqXVaDgaeU2ZO2odJJFNdjW7qvpjsavJ//3nv7MfPi4Xk/dYN9V69XJKvyfTCa7COlars5fTyzaBmf7w6ve/m709R2wnb+LLqQhIjDcWFKICQQMBoxQDQhQRArWnjE0nf3VLfDl9h/VyQqe5gslk1nRV/AlTtaraLK3Z7M37a7xY1+3bu6XXhbn4wtVtc7N5c/zf8u5NexyhxHFJQGiWQBAqwVuZW4baJK2kEVFNf3F+ruEv6+DuCLneX8VJ++kit1tNJyfbhQEXiz/GWGPTTOr1h5fT3FVhvbhcdv224/if8NMrOjvp/twRfrJT+mzhPC6262jxY/vqZ/Lv2cnmv63SzSm3XXbd9twsF91Fi3XXO3w6qWK3c+vkrvJ8+Jt4b/91STaDtmo/vdvUKabXm12VsVqe+vX6p3kV7192d4E7K56dbDV3q1e2r392cqvnPdpPXmkVnQaOJOtcYgAvPYLzihHBNEnUDq191qN99pW0P/mZfnMLsF9N1Y9rNv2aluvab2+w0QjruJZggnYgeB6zDKEBolWSKeK95npog+U9BsuPZLja0R9PrWbqYojKKZA+IginGfigCVhneBAhJkfi0GoWPWoWR6LmHdR9ajUrShMqQQFNyN5sgwRrEwJqyyRGaoRwQ6tZ9qhZjkXNX3UM7+4+wmXTrpfzdX3mVtW/NtczJzso/NTWoAVGnSQDSpUFoSSCd5oCkU5Hl4f3SOTgt6J9Xk/V4fYQ6iqrsHLb9eACl1kVb3MocEfN9/u9WjWtWwXcpeDPZbnNMV/hetmcXnVkDjrm0bVuvswFC+DQ4+G9lX9uYLNLbI2LfKnv8bVb4Cq6+serYyfrlBpsX04h91y8rDfd8W5jNfn2sjlNDfyzre9f4lVHXde105K3j6CEkNnJA6c8fECv59yU3vEes6sPryT1++BJT2ftUEZPl98UZGPZsrkd1nWggxFMTlGrIFmZHSzqCC4DFghjTkSZg1EMgztY33hLdXGw/Q7Gi4PdFI3TwTwLCSNSsCryHJ3ke1fTuZpFqVViGrlmgzvYrhM2DmaKg+13MFYc7KZopA6WHPfUZN/Kf7unlTkktMqBDg4jk4oyRgZ3MN3nYLY42H4Ho8XBborG6WBJGEOcZ5BE90CY5xjMMMch6vxDZFA8iMEdbEeHXj0RJsXB9joYKf51UzRO/8rhF2XKRMi3hQFE4gq84wS09oiGWi8pHdy/dsxGXPnXIybcnqV/FX7dFo3TvzR6JpSVYLjSIKzs5odCvkskyjDNrTZ6cH7lW9Ae/3rElOaz9K8SgN0WjdO/LJPa2RyABe2zf2kjunQRC4QEp5yWKOTgE3OsL1+EPWIG9ln6V3mCeFs0Tv8yUVqupAcdXY6/SHd/GK3untgnz7ij1A2TkKPMrYP18utYpr53WszTTnY6xokWFCFY6UAgSvCSW5BRGoY+USPNIIrW9ABFP2Ly+ygH0uuyja1dNrFnbLxnVzsyg65agT2Dy5YoF9pLt2gOFbczq+wR4rL6q+aqqra+xEPF3k8oWDftPOR9WP/KFoXz+UVdzcN61awXVdYvHtz3O7OWHtX3X3T9u5PiHiG3M8+Mn/jdmXMX83bdusW8xve4usSDDWGn7T+iDRf1+bxdNHh2NymkxoQ1ZufpclW/2DgOzjZ5RIO7BNrTTYflRm+8+IvbtycXd1+DnvixUdTCYNDAUBAQ0juwVkiwSRJBXTSY/DC0kAfQ4rmnxhRa7BFbaPE1aVFG6keP1Ht5G6saQ5vNCJfV5XIw3j4tLVAk71iXQ0m8BKGjBUMcBU49FzpQogbKnjaHxBbPPc+r0GKP2EKLQovx0iJgxHhksBBBEtpl3SedfwmScmjhkgYiVfLaBI5umBkzc0ho8dxzFgss9ogtsCiwGC8sVti+qFbvsWm7A/K/Yb082LRHDg2MXhjDFJgYEmSEMDDaInDNKLFOao04DDQOmaZ67nm4BRp7xBZoFGiMFxqZEcuq6V4n8yLvfpEQjwsckaH0yXkQTKsMDnRgkpJ5M3jmE3U8pEHAYQ94NMWfe355AccesQUcBRzjBce6Pcd6flSs8MQaTiIDdB0wuKDgtKEgicVECNIMkmEmvQ8IMvhzz+UurNgjtrDia7JidEPvFbzwzIVPvxV8ZZtZ5jEouHk4rxbxO0Eo3V5q1t/GkZMCY5LMcA/E0xxVOCPB2aS7x1GRah50HChr2h4wh8Gf+6qEQoo9YgspSlQxJrTdjSo8rjBVbTPPO+f48QJXzYBZyU/9NizDqKMBMIMQhJEUDI0SNPWKOBG4MsPMYVh7ADQesdSmQKNAo0CjQONL2jc4NMLCVctjQYbR3JvgPFArIwjqKThvEKyk3IdoGJfDvKGUkkMCjbJqrzCjV2xhRmHGeJnhlt3ocH2x65QHiYMVO3JmpKRFlJaB9Ei7d4IqMDYjBKkKClEmFodZukfJIdMYZe1eYUav2MKMwozxMiM7/GXdefyL26ypY4k0JPMiUILgCeUgVLLgozDgiDSJWycxDZMn1U0KPUyNsoavUKNXbKFGocZ4qXGGK6zd4mY2o1unMXeLxfrDkaBDSwxKWQ8ycNvNa0RwNibgKociliILdqCHVN3Hcx5ER1nRV9DRK7ago6BjvOhIFS7iEQYbKJjUwTjgERMIZrppjUAgsqBFZoczcphEW9p9S+NBYpTlfIUYvWILMQoxxkuMLraoOlPEpj0SWBhtPFqWQDKmupdLEbBBJLCoBGchGqEGms9g5GFYiOf+CYsCiz1iCywKLMYLi6N8FyHVyRMbA3QZtSAoBvA2CkiERxF5ZokY5oNHlB0QW4iyiq/goldswcVRr+L7JqPvToaOeyXhU+dLOcuURVChey+I5gRcUAHQY7QsSm/1MB8pp+yA6QtRFvMVYPSKLcAowHigab8eGPN2hR8KLK5eXutl0NZ7YNoayFsRfPI5xMjwMBiFkWwgWHQ98yAsyiK+AotesQUW5WHUeOmWqYauuaw35fMzV63+wP68WDfHMucdLHXCcwWamNC9MsSDMcqAUR45MVY5OtA0Bj9kGqMs5Svk6BVbyFHIMV5y5IBo3rqP81TnK8+GlEeKy26wWF/8NtkxO7nIm7cVz85d8/rcrc6weZXyYIGzk1/suTmqal5fC/hx5fwC4+eD7xfcnLNwTft3TBkW5++qJb5ihCkgGhh5R+2poKdUfG+NtorTf3Rfnr179E01zfn6w+vc8fmy33RjQpPj1C5d7XMLesuvavjcC2/PEdut7952J9/Z2500O9kc+ur/euQBgxKfAAA=</AdaptiveCompressedXml>
</file>

<file path=customXml/item2.xml><?xml version="1.0" encoding="utf-8"?>
<AdaptiveCompressedXml id="2ed8bda2342d4e80a28d006a2720df36">H4sIAAAAAAAEAO2dS2/cyBGA7wHyHwQBe9qtVb8fhuxF4N0ABoJNEPuUy6Af1dLAM8MJSfmRRX5ZDvlJ+QtpjuTRShqOqV1zNJ5pHyyJTbKa3VX9dXVVk//7z3/Pf/gwn528w7qZVovnp/R7cnqCi1DF6eLi+elVm8Cc/vDij384f32J2J68is9PGUbjo2PABYsg0BBwzEQgRDmmGYmJq9OTn90cn5++/Pmvp/nqk5Pzprv+R0zTxbTNoprV0Xy8xmVVt6/vlt4U5uKlq9tm/ef6/L/lw6vKOEKJ45KA0CyBIFSCt1LlammTtJJGRHX6q+vzHf5SBXdHyM3xaTxpPy5zpXPtz+4XBpzN/hRjjU1zUlfvn5/mdgrV7GreNdqG89/ixxf0/Kz7cUf42Ubp5zPncXb/Hi1+aF/8Qv59frb67V7p6pLbJrupe66Wi27ZYt21Dj89mcbu4L2Lu5vn01/FB8dvSrIOtNP245vVPcXpzZ/dLeN0/sxX1dvJND587O4BN974/Oxede+1yv3nPz+77ectvZ+80io6DRxJ7nOJAbz0CM4rRgTTJFE7du+znt5nX6j3T36hT64B9ot19eOqTb+k5rr26RU2GmEd1xJM0A4Ez2OWITRAtEoyRbzXXI+tsLxHYfmBDFcb2mPX3UxdDFE5BdJHBOE0Ax80AesMDyLE5Egcu5tFTzeLA+nmDdTddTcrShMqQQFNyNZsgwRrEwJqyyRGaoRwY3ez7OlmuS/d/EXH8G72Ea6atppPqvrCLab/Wj3PhGyg8K61QQuMOkkGlCoLQkkE7zQFIp2OLg/vkcjRp6J9Vm+Gq0Oop7kHp+7+bXCG89wTr7MbcKeXHzb7dNG0bhFwU/9+KstVjvkBq3nz7Lods8Mxia51k3kumAGHHgPvvfmnCjabxNY4y4/6Dl+6GS6iq3+6PvekSqnB9vkp5IaLV/WqOd6slCbPLptnqYF/tvXDR7xuqJt7bVTk+2dQQsj52Wcu+fwJvYazLr1jPGZTG15L6jfBs57G2tAZPU2+LsjKck/nNmjXQPsimJyiVkGyMttX1BFc5isQxpyIUtCAYXT76htubbGv7fbFi32ti/bTvjwLCSNSsCry7JvkmavpLM2i1CoxjVyz0e1r0wWrtRRSDGy7gbFiYOuiPTWw5LinJttW/tmtVWaH0CoHOjiMTCrKGBndwHSfgT1itfI4DYwWA1sX7aeBJWEMcZ5BEt1yMM8emGGOQ9T5H5FB8SBGN7ANDXptYI9YED5KAyPFvtZF+2lf2fuiTJkIeVoYQCSuwDtOQGuPaKj1ktLR7WtDLOLavh6xfn2U9lX4dVu0n/al0TOhrATDlQZhZRcdCnmWSJRhmltt9Oj8ylPQHvt6RODgKO2rOGC3RftpX5ZJ7Wx2wIL22b60EV2yiAVCglNOSxRy9LAc680WeUTE5ijtq6wg3hbtp30p4kXCbFXEGpv9rzxTdM5yUMIKJpAnT/3Y9tW3gCgOJb3hQTy0WWYVmOTnwIuq/vj0cVATpeVKetDRZS+cdF5CtLoL2yTPuKPUjZOUJeytGvTOYtSBqMHGcWO3He0YJ1pQhGClA4EowUtuQUZpGPpEjTSjdLRkAzpaHzlOb8pWunbVxB5CPtCrDdlh17XAHsTcE+VCe+VmzVBxGzMLHyEud/+0ub5VW1/hULEPk0qqpp2EfAzr31mjcDlZ1tNJqBZNNZvm/sXBbb8xc+0Rojs1yZOB+N2Fc8tJW7VuNqnxHS6ucHCHbNTBR9Shyw1+tpLf4MVKOX9zn2xJM35EhZb15SR8w1SV63M3aajGhDVmw+qE/GbFGZyN9Cgj+k312Zzhuk3ujueHUQuDQQNDQUBI78BaIcEmSQR10WAaZ34oh8wMjj1FqgBji9jDBMbeDdZ3CRanNYY2tw7Op1fzXRGsAGNvgEG0Z8RHB8hll5IUCJjoJRDFlBdCRo/jpNRq+nlg8GNfsCvA2CJ2RGDs3ai9s9FnKy2q9hLrzIymraf+qlsd/eT87I4ck1nlFv7t14KN5Xw2G9x3j55s7JYVIkhCu+0XSef/BEnZuXBJA5EqeW0CRzdO8FSTz7OCHXv6amHFFrHFuSiY2i2m3FVbXc73FlO7JQdGL4xhKvsWIUHmCAOjLQLXjBLrpNaIo5BDyQHkOPa87EKOLWILOUoMoafO+0G7BbbfThfvsGm7E/KvoZqPB7rdciMylD45D4JplbmBDkxSMv8ZPPOJOh7SOB7HEG4c+3aDwo0tYgs3niCccT3zH3kILOQaLnfH2z+JNZxEBug6ZnBBwWlDQRKLiRCkmSXjuBkD0qXYse+eKbjYIvYwcfFUM+S9w9TXCIm7aA0YMY6eKLDrZakkmeEeiKfZvXBGgrNJd8tSkWoedBwpj9qoAbw49t1ghRdbxB4mL/Zu3L47BnpcYJq2zSQfnOCHJS6a3aX9fo0IOVA/g6Bh1NEASCkFYSQFQ6METb0iTgSuzDjhDDsgaYqVpKnCjV6xhRtPzY0wc9N5ocaWOh8oNYzm3gTngVoZQVBPwXmDYCXlPkTDuBwn1dbqAdR4xK7NQo1CjUKN0anh5p3S3wyqVcq6P3hcLNQYXJ99p0ZKWkRpGUiPtHtnrAJjM0SQqqAQZWJxnB19lAzJui17wAs2esUWbDwBNrIeX9WdIn8bqvl82nSfHduZu/FUAZ+vAli7BYdkXgRKEDyhHIRKFnwUBhyRJnHrJKZxcqco4QPAUfaCF3D0ii3gOOjtGst6EhbVFD/s7VC9lbAXuMDazdYRoC4Fd+Jms+r9gcTFtcSglPUgA7ddfCOCszEBV9kbsRRZsOOsVFEyJDB+7F+CKejYIragoyQ09dR5P/ZrhKrOQ0RWnkluvpuM5WVdxavQfiLKgWAEBZM6GAc8YgLBTBfwCAQiC1pkoDgjx0nHpWTA26h42TBeMNIrtmDkCZauunn0tGthbNoS6uiv84GGOqzkMkZGgVnCQLhowBBlIWVoMEoZiTjO5/HUEFyUAHnBRa/YgouDXrDaw/eLLJczvJjtLbF27GlwFxzhBLzXFITI7oZ1yUCUkRF0DIkb5z3pmUqfR4conkZBR6/Ygo4jQscThA6+Rn9nt/RQGpWxIkKQPtODsAQuUYTohQgyhWTdOClWygzwO0q0o8CjV2yBR4l29NR5P4D3BL7SbuFBpbNSr76zgSvXQ4DRNGR4RM+tD5amcb54SOmAbR2ivNuw0KNXbKHHQbseXyO1stLM8yAU3CRcTmfxO0WZlRs+5Le5jnvOCi680t5rsLELcHB04DnzYDmR3fc3LOPjfN2d0gGehijvMyys6BVbWFFYsWesuLdd8n3+9c6myV0tqTWBSMsmd78S/Hta6/PfG94fpqVAlbJMQXTdu1C6bSYucgqKGVRIEsGR3oVihkReyju0CtJ6xRaklcWznjrvx+LZ7WvdJxcuDwDfsD/PqmbMd47t2B/ymlnCEyDt3terZJfw5RQ4h0oyJumDVx58qTeiiAHsKAlfhR29Ygs7Cjt66rwf7KhzgWuualzj44YeB8IOIn3EEDxoF7r3ongNvgu+cKqtcF56Skb6NMiALYqi7G4v7OgVW9hR2NFT56db/rsbdhHEanUoYRdpjUKFDBSlNqMicfCGC0hMMK1TUlyO9N3aAftKRMnvKqjoFVtQUVDRU+eCit+NivOzZf7z9sbnl655eekWF9i8SHlwwPOzXx1ZnzVtXt4I+Gnh/Azjp5MfFqyvmbmm/TumzIbLN7n9XjDCFBANjLyh9pmgzxj/nnJJlLT/OD+7f/b6Ns1l9f5lla1/0b7qxoAGQ6dN6+r2ll/f4VMrvL5EbH/ENF1M15TpLr5ztLvo/Gx16ov/A/VOkS7IugAA</AdaptiveCompressedXml>
</file>

<file path=customXml/item3.xml><?xml version="1.0" encoding="utf-8"?>
<AdaptiveCompressedXml id="08d2f5e9331c467da01be169add927e7">H4sIAAAAAAAEAO2dzW4cuRGA7wHyDoKAnJKK+P9jyA6CTQ4LBEEQ7ymXAX+K1iCjmcl0a3edIE+WQx4prxD2WJYt9fS4tXbLvaMCFvBq2N1VTbL4VZEs9v/+89/L3/14vTr7HnfNcrN+ec5/y87PcJ02ebl+8/L8pi3gzn/36pe/uHx9hdiefZtfnjOXRdHoQUqeQBmbITAeAbnxIWcvLNrzsz+Ha3x5/u3rv5zx83r/2dll0z3hD1iW62VbhTX7X+vvO9xudu3r+6W3hbV4G3Ztc/fn3fV/qT/v1SloreAyVCVSBJU5gvMuA1doRXBJKenPP7q/PuFPmxTuCbn9fZnP2rfbqrY5P7t4WJhwtfp9zjtsmrPd5odaD+dnabO6ue6qTR244e/49pW8vOj+uSf94qD4y7RbtrhbhoePwRVe47p9XWs/5LCt13RvLc8fXNepv27asE7YK/morKqc6wturpsX7+qxtvMihzYsrmvBCiTw/qt0Sg8+/L2CzSGxO1zVV/0evwkrXOew++O7a882pTTYvjyHWnH5Zrevju9q1e8btHlRGvhHu+u/4ruKun3Wt/lg+f0rOGPs8uITt3z6gnav25C8rrRaTbts33637z/uUB2+kzT4pMuLgco60BgDVX5XUDvLgz53oHd1At9b0hH7kqJYUUK1quwYKEQHHpmD4JxnJSiTtJzcvvSAfSmyr+P2Jcm+7ormaV8CndWZeWDae1A2K4jJImDOWrEoRVBscvs6dENnWJrs67h9CbKvu6J52lcpiSnLHSSrdeWXxmpfqoA2jitRXIqMT25fdsC+DNnXcfviZF93RfO0L+W4D9omsAKrfTGnwGlvQWM03lamocHJ7etAhe7ty5J9HbUvRuZ1VzRP8woiZ+a0AxGkBVU0A684gpC5YJQlRe8mNy8/YF6OzOuoeRG9PhTN07wceq9ltSerhAHlo4NgeAAhYmIpJxXi5N6hYAPm5cm8jpoXBV8fiuZpXqFkZaVjIGL1EJXLCRwGB1h89JajVWgnN68DfXJvXpyRfR21L5o8/FA0T/tiKegKrQwxSgFKRQPRZQkyZG+SDchFmtw7HDIvPt68ViHi6uFDWvyxffUv9u/aLt3/PSjd3/JhwfBW+arXPTs8W3a1dMAch5u612HU+e2f3SPz8vpF3Gz+vljmw6Z48MGXFw/UfVArD99/7NwWk9zxIsFIU2PvXIODIF0GkZPXvHhmvZl8eB1qfvGFmv/sX/yrd4EDAdBPbOvHqc2/ZNcN7Qx6rLTVFYgI6HT1t5mIEH0MELwPRfHsEgtT91g51GMfsVo/6wHrQIU8dTtna1kooo5MOUpQqQ5KjkUB2jJrfcrM4+SzgkObMvgjVo1n3c4DzuCT2rOPKQefgCtRCRRTNeXUeSHFdRO/XjssU7fz0OYA/ojVy2nb+YsO450Hkm6adnO92OzehPXyn/v3WbADJH7q7uCkc9XqIxTEbjE71eFdaQ2OC9Q1Fqxe6eRmP7SWzR+x2PYz6w7NtsYki/oi+Gaze/v1u0H0jHGWEaQUNSxhUUEwmoNwMVhkRSQ5Tdhv5Id+MDSrxp/7otBt2b4r3jR5IJLv9boDbtM7LXAgFH4gKqT2JqyaseIOutyPEFebf9m8e1S7u8GxYvtD7aZpF6n+hrvP1ChdLba75SJt1s1mtazti6Pr/qBH96i6/0nvfzhieITcrnvmsMu/eRPCdtFu2rBa7PB7XN/g6I5wsO8/QocuWn+xl9/gm71R/OS+cCTwf4RC293VYtlsqzb3Ab7Dgjus5tyJ+MnddbRncEzjp53FwpxZdN5DktV/VAarw5ATh1h9h5Ajl8bFaXDBRuDiEYucs44WDs57Pq1fYLKIPNU29jzX6L+2dPUM93v1eUCuq1sw0XyVsSMa+rkvt5FfcETshH7B14IzgfHxYOy7dB+7c4ttGd2Wn+vS9UWPbr4vLnq1fLLX3jbLJxO1ezJR9/3kJqywWcTQ1Lq99ZYnc5af1tNLEqUrJkGQPoOKVkIUXIBDxrLMqTgzzXqlcZ92AMRz3w9ADsARseQAkAPQ1/ghClNYV7snbHzhbS5Bu2SVgsyyqNjQBVxhEVBnbZxlsohplhX8iLhRPPckb8LGEbGEDcJGX2OKG586bhxGJf64xXVzKqj0NqTMvQVvsdt4kwvEmLszUaSrqBRa8zwNKsdEWM/9vAZC5RGxhEpCZV/juUZYp4WNkmRGKyIUVdmhuhwCn7wBHY2NTJfA+TQTc5zxEdx47ueQEDeOiCVuEDf6GlOI9XVDrNA02J4kK50xmrviQJWsKiutg5Adh8K5zFIKx8Q0J+Lxzig+ycrnfqYQsfKIWGIlsbKv8ZxirNPlBjphdA6q0sIEUMgteMEzOOEVMp+tDGISbjg1AhuUFUHYGBRLWRFErFkR6z4zIq6xLNtmUX98D43p8kuelhpcSsu4lhBCETXksAI8dwEQhfUly1yMmoQaVo+gxnM/AY6ocUQsBRs0dPc1pok52jM/QdiY0uZm3Z7k9kdtdMnWRojOSVCCaXAmZIg2SEQjWSzTfOLGmhEuAKXNkQswKJZcAHIB+hrPar7xhMHBE2deFgdFd+lWWRYIoiJESOtztEZlM83h4dZ/GhyS0q0IHINiCRwEjr7G94fuTXuFu0VeNu1uGW+603knH7/7IHuyyesnTrkqlRSi1EhDJAUKE4KPskIkeSZNKlHYafaRuxFnsshHHC1M6CB0EDoIHYfQsVynzTXB4rbgM74BxmSu/3XfsOwO8OLdAbBGcXDJOamRY+DTnOtkR2yIk7RGRbAYFEuwIFj0NZ7VBNVHG+JOa3qq8OCdYgKUDQ5UTgyCTQ64LknIrGLK08QYdkTOkaQNcYSNQbGEDcJGX2Pa2kBbG8gBOBvtAHjTfQDQaPApFlCm+xBQ5gJsRieLDinFabKO3YjDKiQlUpEDMCiWHAByAPoaf8VkhiM74tMqLK9PZT+8UcaFLvs2CNMtR5UCUbgC0vnIfEhSl2m+2OzHBI20GY6YMSiWmEHM6Gs8G2aE6254uH2tTamjxOhONXNmCCxWYpRQkPPKjITgksyAySCLQsdoJmLGiMxbRfvgiBmDYokZxIy+xrNhRrX4m11n8r9Om+vrZdPU1zuVSENYIbVSASR3EVRWoos5CvCQmbRBJlmmOa+BsxGpt4r2wBE2BsUSNggbfY1ng4202dUBospf/EqY2814290m36T2xA79yZrpwmWAIrs9DsEL8DJbYKo4n6RkZqKtcZyNWONQgiBCEBkSSxAhiPQ1ng1E1tjW+KP2RWzaE6EFd44rJTiYok0NOQKHaKUCn2MM2gsR40QhBx+xuqHo8w1Ei0GxRAuiRV/j2dDiDa5xF1Z3x8Pt8RFWq80Pp8IOmxIqo4CFUtlRgQE+JQ9BKxEs9yUaPRE7RmT7K/qEA7FjUCyxg9jR1/hByua2jt97I70dwhfw8dZYyuJ8V/A5Kf/CGesZmKgjKGErO3KRoIurwYeRLAs7EUDGrHfQdlwCyKBYAggBpK/xbIKPzWZ7audSF2asYlyB6bbgqhg4uFgsuJyskkxlp6fZU8X5iFMpFWVvEi0GxRItiBZ9jWdDi5vmwamUJ4YO54WJogJDC2FBGYXgBNdQuAkmieC1idOgQ4w4L0bReTGEjkGxhA5CR1/j2aCj3Ky7JPHVPhF/6p1UDzVJjDO9aKrQ7sScFt9sdm8/p6nuP2neTIsouBSYwasiQVXCQZDKQbYShYzFGD3RR0GlHME0ykskpg2KJaYR0/oaz4Zpp3xCPysmaOYDGM8dqKS677ylCMH5qAVyL/M0J6BwOSI1UVNqImFjUCxhg7DR13g+2DjZY7MyBqt98mBC9z0wpwQ4nSM4howZXyHiJ8opkSMW6jUlJhI0BsUSNAgafY1nA42v8EmZJz4+C0XB5DhkZN0mL2/Aca/AqSxF4DxrPc0nwbgcsWyvKR+R2DEolthB7OhrPBt2NGGFzUkGHOjQZmkTCOwWN1ThEF0WkGLm2lhMCtk00FAjFuy1JGgQNIbEEjQIGn2NZwONj2epTuvkExuiikxxwGgrNKTQ4II2wEWS2Qchs5xog7AasSKuKZedoDEolqBB0OhrPBtoPJ/js1SFh3aRgfHJgYrOQ1SVKdmIEAIW7fg0nwjjasz6OCW1E0QGxRJECCJ9jWcDkY+nq04LGlgSOq8LWOUsqGQiOCkCiJSL4pElF3AaaOgRH6/XlMhO0BgUOyE0vuLIQ7z62fLqPjS2O1y04cdF2VVBtSfVoeKmGy02259ncuLlxbb++eHBl1eh+eYqrN9g86rU0QIvLz765e6qZfPNrYA/rkNcYX5/cb/g7p5VaNq/Yqm0uPpueY2vBBMGmAXBvuP+heIvhPwtl5oZ7f92efHw6rvHNFebH76pFV9f+9tuUGgwdQ19p+5g+bsnvK+F11eI7R+wLNfLO+x0N9/7tbvp8mJ/6av/A8yo8YMt+gAA</AdaptiveCompressedXml>
</file>

<file path=customXml/item4.xml><?xml version="1.0" encoding="utf-8"?>
<AdaptiveCompressedXml id="636953802a1742299e58739660490635">H4sIAAAAAAAEAO2dS28jSXKA7wb8HwQBPsmxyvejoe6FPbuHARbGwj0nX4h8RLbKw4emiuyd3oV/mQ/+SfsXnEWp1dMSi1OamRK5ZFy6KWaxIiszI7+KzIjIv//v/938/sfF/OIjtl2zWr695L9jlxe4TKvcLD+8vdysC7jL37/753+6eX+LuL74Nr+9NNJ4LR0DEbgFJYQHj9qBld4YpjwzUl9e/EdY4NvLf39/WX98cXHT9T//A5Zm2ayrpG77bf2+xbtVu37/delDYS2+C+26e/zz8fo/16+3dXHMIeM8gLHW1bo4BRGzgiBFiFpaNCguf/L7eoc/rVL4SsjD902+WH+6q3U2lxfXTwsTzuf/lnOLXXfRrv7y9rI2U1rNN4u+zfSOH3yPn96Jm+v+v6+kX+8Uf5PaZo1tE57eBue4wOX6fW36kMNdvaZ/ann55Lq++stuHZYJn5X8pKxWOdcHXC26N/ftWDt5lsM6zBa1YA4S+PNH6Ss9ePPPFex2iW1xXh/1I34T5rjMof3j/bUXq1I6XL+9BHV5kTfttjm+q03fP1rp3pQOfli3zx/xvqEe7vVt3ln+9RWcMXZz/TM/+fkL1tu6DcnrS6vKrJv1p++248ftasN7SYN3urkeaKwdnTHQ5I8FdbA8GXM7Rlcv8LMm7dEvH7MQsQgosVRdTzKB40aDi1mVYnkxXE2uX7t+0CuWJP3ar1+S9Oux6Dj1K2JyVnEEq4wE5XOEoLSAFGXRXDuWbZ5cv+yAfinSr/36JUi/HouOU7+KZxyTdGBc4aCY4BCTzOCj0IUFmaPGyfVrR4Nu9UuTfu3XL0769Vh0nPqVkuNFcgNVywQonlO1v7SFnHIpoRSetJtcv/yAfhnSr736xUi9HouOU72ck07zICuvjAMVeIKQbALULGpdosGYplYvwQbUy5J67VUvoteXouNUr6hTFFY7wKQUKOclROsdVMUSzCvFUE++uiF2jMmtejlSr73qRcbXl6LjVC9dRMncWTDZe1CFM3BKK3AiBR19zppNTy8xoF6e1GuvetHa4Zei41Sv4HkSwWsIITJQkpn6yQbQmufopU4+y8ltrwHt4i9Ym5+HiPOnN1njj+t3f2P/U/ul//SkdPuTL/uFD5Wv9fpKDy+a3H/5vJuGu/rZgFGXD3/2t8zN4k1crb6fNXm3Ku688c31k+o+aZWnzz+y+y1Dn52q/c081tm134bN1fROpr7RJGt8mn7pWA51/wuWjo+6+3c0yGv3c8GCQusMznIJCl3qKRohxMrPgsnFzKfuZzXUzy9Ywjzqfh5A62v2s6gvSzmrauHLFKutHzmEkjhYy3jAUGQxk/fz0MsSf4ExsrefL/7GD97XO5YLf2Ffv6za/LdEUVgffsSqyIvDOk6FNAJUdAghGwtC1zcS7ZwwbHrngKGpyZD3zc/srmh6w38sOs43fC4q7REROMu9glXq9+/8UIwpJqmcWbFTK9iQc5vhx4L+33Re7V/x06ZbrxazVfshLJu/bp9nxnag8bXn25ytUyZ4kLEfDq4fDpYFkEUZ6YRA78okw8H4L+NhaDeAs2MZD79yOOycQF63o1FmxN7hzrisQfEerDIz8LGEkJXPwrJJOtqaER39AsU/SbA+lG3H2qbLA6h8Nq522Mr3tcAB1jwRFdJ6E+bdWHE733JfIK52f9Pd32rdbnCs2OeT6apbz1L9DttjqdHo6f0FlesHUn1vyP/6IYS7WbP8iN0a8yx09V2rm9WyWQrd7dg67xyvL6hNup3dtc0srZbdat5UVcDRw3TniscLRGP8RR2z2555gdx+Xe5N3/hXt03t37ap75VXc/xQ//2It02a//IBs2fJb18FX9lTWwqZQzGQrMj1XZFZiNoWUIoVjik4N5GntmMjmHHuxhgxY49YYkbPjFuc59l6NVuE9aaqwKdZh6n/0GAniBvEjcnWGHiSISiQPnBQhieIsjDgTkRvg2I5TrPG4OQIbpy7CydxY49Y4kbPjbzBWWmrkBbrGNu02I7uN8LFi+WeOy4wK2+d1pAZ06BQF/BcSEgCXSg+o0kTmRljlqbO3amLcLFHLOFiiwss2LaYZ3d1yk6fZiH9sGm67eL1rG8QYgexYyJ2KNZ721sHPFcrQ2UVIKrEIMbEhY6OlTSNP7AbsX8laFuD2DEo9lzZccBZ+mtshZRq4+SHnZX+ovoxrRaj2+vX8oqg8azkdaCBismMGliOApQICLEwA4hZMxTcZz5NBL8fsa8haF+DoDEolqBxYGg82jrr8OP9VjzR4rRpYRPqEoWHiMKB0g7B6WyBoXPGGCbNVLTgI2hx7gnLiBZ7xBItDkyLZln//NDEOT64bREsThsWSZU+pUo1KJyVoKpZAcFW00JKFoKV3BWcJuLKixGwOPfsewSLPWIJFoeHBbZptbgLy0+zFhM2H0MlBzHjxJmBQqvoUwEhcwZlkwKfEgPmuLFcF3QTJRz3I9ylxLlnlCRm7BFLzDgwM1Z32IfbVg2YY+jIyjgPYnDvhbLRAkofKzGsh2jqJ52iLi6khGWaFKlejSAGOdgSMQbFEjEOTYz1LbaPQYTzObHitFmBNsbMLQPue+sipQhBGA3GiKCTl4qJabxrvR7BinNP+Eus2COWWHFgVty1uGg2i22s+T03aFnqbMAhJPqUjISUsgelVYaglYaQCmPOYjRpmmSQ3o0Ax7mnsiZw7BFL4DgwODq8C20V3/vYrjbLNa1LnQUyMgucGy+ByaQrMjKHOrN6yMla4QuiVtMkmeJsxPa3pHAMYsagWGLGgZmxXq3DfDZvQmzm2xQlRIvTpoURudxnp9Z9dmrXGxgWA5TKEF5MCgqncay1Y2DxgtyTBAuCBcHiZyr4G8fukT1xBoSQnLvipQRjrADlJQNfuAUbcxAKmXNiGm9azkakBpEUqUeIGBRLiDgwIspmvWnxc06SiEssDSHj1JFhbOY8RANZsYqMFDR4FzxYw23iVkchp0loz9mIjCCSwvUIGYNiCRlH4Rv1QIzb1TzXv8pmObo2BI1/TGjInF3G7KFk7M89tBa8ZxwseueLYa7oaRLWcj4iI4iksD2CxqBYgsahnaTucVErsm7rkJmleWgWRIzTJgYT6AXPGnJUlRgYLDg0EixnxkoXuFVTEWNEVhBJQXtEjEGxRIwDE2OzxNAu+6Oc8sd+bH/2s6XFqROnhnRaK+f7/QyMoJhiEGRJkGS0RRonrJQTUWNE4J6kYAyixqBYosahF6eehHqTp9TZcEOIpGV/WmsMvIDi3oC30vYetl5qZU2Q02QI4XxEEJ+kWAzixqBY4sahudFvalwRLc6GFlhKv3thAXUy1cqoyHAiBjA25RBLH4QxkdcUH+M1RQcqES0GxRItDr2bET5to7v7Y2NDKRUZtS6EjBNHhhaiWOY1CJYFKOcC+KAlZMSI0SZUfCKvKTFiA1xR4B4hY1AsIePAyFiuKiE+g4NIcdqkEMZJnfoUtb2TreLcQ9D9Ad8lS+dtTLlMFOItRmSrVRSSQaQYFEukODgpltBiWm3aDreOtb0yrOK8+bB9UmLHabNDS6Z5MQ5ESRZUiBYi36Y8DzLKYLnBadLWcjFiYUpRbAaxY1AsseNYFqYqNrCddZg27XY7YzbHLUiIHqdNj4xofHYMIuuPVtLVBnGJGTDeaFayc2qiRLZcjIjsUxSkQfQYFEv0OLaEhLQffjbgqGxQTMncn8mnQBXvIBgbQfBQDBMpBz+R160cs2RFsRoEjkGx5wqOQ82VRwOs+2yI+MOm3v+1AHXuoBDSBsejBWlkAJWdhsgZA4Ualcm88DAVKMZYGHSuEoFiUOy5guJ4JmxcVBUI7adZfcr0/X32EDItTpsY3nmBARNkbSwoGbGaFiZCtSk4E8EyO1XCczUih62igD4ixqBYIsaBiZFWi0V9oC0uCBQnDgorQyiqQHKmGhRc8X41SoB1KQYrTColTQSKERF8iiL4CBSDYgkUh052nnPTP1KYz+5Ck2fNcpbCXbMOdHjriWMjpiJDqfYFyqhAZVOxwXQGH10Uwels2EQrUmrEIXyKQvkIG4NiCRsHxkaL69D0aab6bFNVEWij++RpwaM12UKQOVVa8AAuagbJGOmVTtLKiVaj9IiNbk0nKhEtBsUSLQ4dm4Hrq82yxTBv/or56kNFR3f1L8JczVddR05Sp86O5GVMQiAomVh/bkas7LAZtI5KOBaUFRNFgJsRsRmaIsCJHYNiz5UdX0/gufnYZFzmV5uqj2/KfDZ6D8OSCvTJGP7KVHBoTWIIOjld0eAZOOMkKOGdy8ooZSZKPGhG7G9rivYmKgyKPVcqHI1FcddiwbbFTFvc52BBZBYw9KdhZBcSqNjnCOm9ZzUvCiV3DM1EW9x6jAVB0d3EikGxxIqDb3H/d32+vpAwceKYSCyYEArE0hsSntVPTBXAwpyPXOqAZiJMjAiy0BTGTZgYFEuYOLTL7G1YfsCrZnmVNtWyWK6vctNtA7qv+uhuYsdps4NZ5kpEBczLCMpGByFqAQ4VS0FpLixOww47ZoObAvSIHYNiiR2vzo7jmy73w+3ep7fffp99wCW2fQD4j3e4fMXt91fbMnldcNhoFWNFgpTWg6qmBnhpNXgudLBcGOn0ROAYszZFcXoEjkGxBA4Cx9MKfg2OqnSbdnuQbB9S2HRdbf9ulh92XwgdvwodgttUpJKgpVagZFEQkCNwZbG47LjiEyWttWPWqyhyj9AxKJbQQeh4WsEn+y6LXkMf2n1VqqKOnsWJF/dfP93fEFlyLB4cd6x3lKqfCosQIpocg7caJ3Kk1SOOUtIUske8GBR7rrw4w2yD/2Ccmt65+XUp4YRGyXwGG00A5aUAb1yAkFi0LgSV7ESOtWqEVWEoVI8oMSj2XClxwNmaNpwHKvgshnHWLNNqgf3xtS8IwzhyWsSKCyZYgcKDBpWrdRFln3XQZBGdSUyqqU70tiNoQT5TRItBsUSLA/tMfZ4Qw4+Ph168WkZx4tazkgmAcXN9V//8cuOb29B9s/WU696VOkPgzfVPvnm8qum+eRDwx2V/tFb+fPHzgsffzEO3/k8slRC33zULfCeYMMAsCPYd928UfyPk77jUzGj/XzfXT69+vE13u/rLN6s6BSzX3/YTQYep17rH6g6W39/hcyu8v0Vc/wFLs2weUdP/+Ktv+x/dXG8vfff/k7erz54qAQA=</AdaptiveCompressedXml>
</file>

<file path=customXml/item5.xml><?xml version="1.0" encoding="utf-8"?>
<AdaptiveCompressedXml>H4sIAAAAAAAEAO2dW2/cuBWA3wv0PxgG9ik9a94vwSSLIrtFFyiKoslTXwa8HNrCzsUrybl00f9eanxb26OJnLUmypgviUekeCjyHH6keI44++HjcnH0HuumWq9eHdPvyfEPr//8p9nbM8T26Of46jjYaLh2CM4EBoKgBWdRgkCFLgUVtSfHR/90S3x1/Pbvx/nmo6NZ093+I6ZqVbW54GZzNV+v8Xxdt2/vpl4l5uRzV7fNzc+b/P/Klzd14UYgcSlBdDSBME6DpdQCT8mpwJkgBI9/d38u4R/r4O4IubpexaP203muszo+OrmfGHCx+GuMNTbNUb3+8Oo4P2FYLy6WXRNtyf8LfnpNZyfdf3eEn2yVPls4j4v7ZbT4sX39G/nf7GTz173UzS23TXZV91wtF915i/WmdY6PqthdvHdzV3jO/nN8cP0q5QhXbdV+ercpUxxf/eyKjNXypV+vf5lX8eFjdw+4teDZyb3q3muV+88/O7nt5x29b71wWjMOQjkHIqIBowzNyhClJI4zT+PYvc96ep89Ue8f/Ua/ugbYJ+vqx1WbPqXmuvbrK6xxUiNyAVrEAEIrCZ4RkrWWUE0S4VS5sRWW9ygsP5Dhakt77LubqUNicxcDiyZTKSMKnLR5mCJJ0agjceNTSfR0sziQbt5C3X13M1FUUo55IiTyPyJRBcZlu1YuGWIYI8bTsbtZ9nSznEo3P+kY3s0+wkXTrpfzdX3qVtV/N88zJ1sovG9t8FZrQSMHhspnU/cJvNYcIgaWkzQKL8bWhm35OzVQU5qMPLlGNOe4ivP8MHi6rj99pbnKUz9Uje9xdYFP/1hfrOCRSqQ+WLAoBAhmIjgqHVCjqdTWWFRp9LVWH9boI1Q81FXuu8rdLwcXuMyd8Davc+/078N2r1ZN61YBt3XtdVquc8xPuF42Ly8bslqdzqNr3XyZExbAoQdhvYVfV7DZJrbGRX7U9/jGLbI1uPqny7xH65QabF8dQ265eFFvmuPdRmteHafmZWrg17Z++IiXDXVV1lYdvp+DEkJmJ5+55fMZem3mJvWO3ZhtbXgpqd/6Tnoaa0tn9DT5TUJWlns6t0W7hhNEBW8TBKJjnk+QCJ64PJ/wliUvBAmEj25gfRMKqouB7TYwXgzsJmmaBmYoYVEjA5VMnrArdOCjoXnCrlVkPnmJ4xtY3xyNmmJguw2MFQO7SZqmgTmpkFMvwSC1eQ2kFXiuNfhMrsAUNR7J6Aam+wzMFgPbbWC0GNhN0jQNTBoteFQaiEs8TxHzX0b7AEkxIj33hKcwuoFtadDLLQ9SDGyngZFiXzdJ07Qvrwl1SRKgivhsXzKBjSkBscQnnRFm9zBD3LLddmlfj9hRfpb2Vfh1mzRN+5JcCca1AMe1A+GpBG8ihUAIS8iNt0mPvmNP+uzrEXv2z9K+ygLsNmma9sWU59xYD8nwlPmVTcvIZAG5iklSTaORo9tXn0MUe4SLwbO0r/IG8TZpmvZlUUWNgkGkrNsD4wq8NQ6UkzKIgBLtOHtgmt4aWC+/DsW3Y6vG7HezUzDrKPcWoqC5o/NMBXyIGjzTXiepHfFqnI4WAzr6Ed4dBzmQXqVtdO2iiT1j4wO92uL6dlkL7Blc7olyob1wi2aouK1uk48Ql7u/ai6LausLHCr2ocfMumnnIV/D+g/WKJzNz+tqHtarZr2ocv/i4Lbf6pb3qLb/ouff7vX5CLmdemb8xL+cOnc+b9etW8yvfDMGK8JW3X9EHTqH65cb+Q2ebozii3Vhh+/2Iyp0Xp/Nm7NcmbtuWDUmrDFbcyfhi7V1sH/XrgrveVrAnAmJU5DBI4ioJDhvBWBMCSVRKJIfhxZmAC2eu2tMocUOsSPS4msN2ZMbLr8iNqc/Uu/kbVgvl1XThaK9yJdfJMQX1SpfHKzej0bvnj1SGBFBawJadpECTGpwxgiwwTimBceAdhRwmCHryefu8lXAsUNsAUcBx3TBsW7PsJ4fFCs4Tylwa0EaJ0Fwi2A5D4CJWC8jt06OEzxohrySeu7ei4UVO8QWVhRWTJcV1eo9Nm2XOD912fq/Y39brJtmxPd7+wWHZsmQwBES75wGjXNglQ0gvYuGMB88mnHAoQeA47l75RZw7BBbwFHAMV1wrLB9cQuPw3ozhVwLx2UCbTBDA5MBL3hedyTBpEUWpRsnlMOSz0ODP3dP8wKNHWILNAo0pguN8xqX1cXysN5NRRGV0hRBhO6bgJIk8IoIUJEpZwXRQo6zxLAD3k3x5x43UWixQ2xxlzpoUH3jtPC4wlS1zTxfnOPHc1wdznspaki0ihAQOlkQwhFwVDhAyzDphNSEcYKBKBmyxnju0UCFGjvEljVGWWNMlxpu2Y0OV2WvUx4kBuvUxJmRWLAaCQdjogRhhQQThQdKLHWGMC7VWMzgA5jx3CPcCjN2iC3MKMyYLjPurDTCwlXLQ1ln6KBYcEGBwcRAILNggzNAvSQeGUESxvmoByVqADMeEbVZmFGYUZhRmDEVZqQKF/HFbZDGoRDDJxGklQL85ogjJjTY6HVeb0RJk4uKsbGIYQcQo4R/F2L0ii3EKMSYLjFO1+v4oVos5tXy3FV1l+tAmGFCdJ7HACxQCoIwzPSgFoxkljGhZKLjHPpDKRvAjBIEXpjRK7YwozBjuszIBn9RdxZ/gCsNjtoowzMmgiIgpHLgUFpgkQZDXOTJjPNBMdqd9PFZapQI8EKNXrGFGoUa06VGF8I3z8Xix26MuKiasy7jZjcc/cEsOhgxnEUEwnTIiw6Z8UFRgdYUmbVGk5H8bikd8OUpXoLCCz56xRZ8FHxMFx8rbPPCI6siNocCC5J8kl4JSKp7QyWD605nUiC8YI5KTYgbaa3BBnxtipdA8AKLXrEFFgcPCxd+zbP06ooSi078t4mOU1xh7RY34RoblrjFYv3hQEDiqKXRWw5edk641AUwinCInFEaHQbGxvkSFWUDwv1ECQ4vIOkVW0By8CD5hlcdB4+OkHxkIjFIRtPuADAGlkgFSqqkIqfS6nE+K0L5gJg/UWL+Cjp6xRZ0HDg6qmU26ODm4axaxL8oyqzccpLRdul/9IyP6YNrv6BQ0hDipAWpOAPBY4LcGwSst8J7DJyHcU6yo3xAoJ8ogX4FFL1iCyjGB8X0x8vpkO3ezkaouo9Qte7jgawpqDJOiuCBO2dAJEPAMZ2AJmqlkVaiH+l1FB8Q3ydKfF9BRa/YgoqDXlP0f5YDrk+oaN1p5Rf7O0xw+uDc82aGlBbRRdBGxC7Cj4FHiaDQJ8MMCU6PcwQT5QNi/USJ9Sv06BVb6HHQ9Jj+UL0Td2Fd5/EhN9j8O6auTmQ6r9fxIrTXR+juC3p1oEReC53nwRNP1/WnP9J+98uaNuS89iYxziAkLUFo4sEkLoCTmAzHKFIcKThRDNixlyU4sUCuV2yBXIHclCD3cJ+ISjXePtGe9+cN7+IOu6MFLc+rIZPAyECBKGKk14Gmsb6VJQZsu8jyLq2AoldsAUUBxbRBwdSIDgV7DibxUUuVEjDNCAhCLJhoCGAywYSgg7EjRR6KAZ87kcWRq4CiV2wBRQHFtEFBzTcKitnJef55W/DszDVvztzqFJvXKY8MODv53ZWbXFXz5krATyvnFxivMz9MuLln4Zr235gyGc7e5fZ7zQgTQAwQ9o6Rl1K8pPR73X19S7L/zE7u574ppjlbf3izzqa/an/uBoAGQ9erN9XtTb8s4boV3p4htj9iqlbVDWK6m+9c7W6anWyyvv4/TiY17Gm7AAA=</AdaptiveCompressedXml>
</file>

<file path=customXml/item6.xml><?xml version="1.0" encoding="utf-8"?>
<AdaptiveCompressedXml id="09ecf24cf37d4601a07235a8b7d5950a">H4sIAAAAAAAEAHWQO27DMBBE+wC+A8FeEf1RZAeUXMgp3KSIXaVbS0uLgEQKXDrJ3VLkSLlCaEVQPoaBBYt5M1zsfL5/yPVb27AXdKStyfj0VnCGprSVNseMn7yKlnydT27krkb0bFtlXKywVLNFGal5WkWLOzGNQKSzaJ7A8pBWySoRwNkjtJjxwrqOhzhjks4fbFBpo33YRb0adIeddX73lw4w4A6cJxb/CDVQUYM5IuXenVDGv4TRpKlw2qPT8GDg0GCVK2gomC/BmGmA/BMqh1TvdYu5EOGyfvYiuRcizLOM/7vGONX2tbDGo/Hb8DrC8vvOYfNVPvQQXy/iHL4oT8a9Nf8Cl5g4esUBAAA=</AdaptiveCompressedXml>
</file>

<file path=customXml/item7.xml><?xml version="1.0" encoding="utf-8"?>
<document Id="dc71e284-a885-49df-84bd-026f340c0e13">
  <version>1</version>
  <createdBy>a7441</createdBy>
  <modifiedBy>D3401</modifiedBy>
  <createdDate>2026-07-30T19:00:54.5815303Z</createdDate>
  <modifiedDate>2026-07-30T19:43:08.0496461Z</modifiedDate>
  <sheets>
    <sheet Id="63695380-2a17-4229-9e58-739660490635" Name="BS"/>
    <sheet Id="b5cbb9b2-2f0e-48af-81e6-eaa8aa4593cc" Name="IS"/>
    <sheet Id="4ce08b89-6ee6-41c0-8662-006044e7b122" Name="Term 1"/>
    <sheet Id="08d2f5e9-331c-467d-a01b-e169add927e7" Name="ISP 1"/>
    <sheet Id="2ed8bda2-342d-4e80-a28d-006a2720df36" Name="CNO"/>
    <sheet Id="9f853758-66f9-4898-bee2-4f32824b5a5c" Name="CHECK"/>
    <sheet Id="09ecf24c-f37d-4601-a072-35a8b7d5950a" Name="Corp"/>
  </sheets>
  <documentDefinitions>
    <reportDocumentDefinition>
      <properties version="27" revision="1" isCriteriaEnabled="false" suppressions="10"/>
      <reportDate>2026-01-01T00:00:00</reportDate>
      <lastRefreshTime>2026-07-20T19:41:15.0927069Z</lastRefreshTime>
      <options areDatesRelativeByDefault="true" autoFitColumnsOnRefresh="false" rounding="3" displayZeroForBlank="true" clearDataOnSave="false" highlightEditableCells="true" refreshOnExpand="true" updateExpandedElementsOnRefresh="true" updateReportGroupsOnRefresh="true" enableUnknownFilters="false"/>
      <areLocationsHidden>false</areLocationsHidden>
      <adapterReportOptions>
        <option adapterId="3">
          <reportSettings UseLevelCurrency="true"/>
        </option>
      </adapterReportOptions>
      <instance adapterId="3">
        <instance code="oms:reporting_data_model-3-1">
          <propertyValue id="5865c367f69e1000093951ccc3820000">
            <propertyType id="0"/>
          </propertyValue>
        </instance>
      </instance>
    </reportDocumentDefinition>
  </documentDefinitions>
</document>
</file>

<file path=customXml/item8.xml><?xml version="1.0" encoding="utf-8"?>
<AdaptiveCompressedXml id="9f85375866f94898bee24f32824b5a5c">H4sIAAAAAAAEAO2dX4/buBHA3wv0Oyz8ep1b/hXJhXcPRS5ADy2KoslTXwz+GWaF09o+S5tLGtwn60M/Ur9CKa/j9XqtrJxEG5/Nl2QtSpwRh/MbihxR//vPf8c/vLupzt7ioi5n08sR/Z6MznDqZ6Gcvrkc3TYR9OiHqz/+YfzqGrE5+ylcjkzUkiupoSiiAaGNBofIQETONBNOWulHZ3+3N3g5evGXly/+OkrXn52N67aGHzGW07JJwurl0XR8gfPZonn1sHRVmIrndtHU65/r8/+RDi/VUZpK6pwBHR0BYXwBVlEO0RfKBqEDL/ho4/pUw99m3j4QsjpehrPm/TypXYzOzrcLPVbVn0NYYF2fLWa/Xo706MzPqtub1Gxkx/k/4/srOj5v/3sg/Hyn9LFflA0uSrtdDVZ4g9PmVWp8G+w8ndPe9NYd3Wk/rRs79fioZKMsaRzS/c1u6ou7ZkxmngTb2MlNKqiAA318K63SnZV/VLDeJXZVdlYmlW/r8Fjp5Vltm6dO15TN+9fL5ue7dGi1WNX3lCjrm1tb1X3FmS8Ul6xf1ndVNYtb7CtWjFY/W4OG8ubCz+pm4tMxXHyhRv56Ml+UE5+8bFaVyb7Yu+13dP29RLvZ7OeLN9bOv7su62a2KL2tvqvwTfr3LV6Xvvr89mmrnpThizvHZylgmy+U2/pPsIvwp7ZxJs2ssdVkgW9xeou9e+pO5/yUDuuSbfdcFySwbPFpB4nG5/fQ/QSKtZO6kJGCRxtAFEKCo16CFDwGYYxijgyC4qIHill/FlfWYbVdSYPvmqsP5Lfx+fKvrdLlJffha6V8UuYBtFe4eGym9vSfwi7TPuoDejegd9YwPt/Sa+v2t2+0p52pZ9FSlMAUKkjGpWC9FmAkMRiJiEb6QexsetiZ55ibY26X2Bxz92yfY4q5ZXquucFJY99NZtPWUMkTb1tnnM2PJQITawjXAoGF9AgkuPBgONVALHFEc5SyoIOQmZIeaBYZzRnNXWIzmvdsn2NC83xxx+W4mN0cJ5mlihJpQSGyYEEQZcFqQyDqQJygnkYZhyEz7UFmmcmcydwlNpN5z/Y5JjJPsVkNnI8ExCJ4bqV1gN4SEIFpMCQSMMJ4Zhz1QplhQNxnlqrIIM4g7hKbQbxn+2QQHzCIKY3e8igSiA0DQVUA5xKSlWCOSic11WEYEPdZudUZxBnEXWIziPdsn+ME8aSZtcY6Eh4riSGQEEFYEkDIgKCFEOCVo0ERKxgvBuEx6zN3bDKPM4+7xB4nj78V7pZxIJbTSX07n98d/8bgP4HcGbSisNYriAYdCMcdOJ7GxZGgJ1Kij2SYlTvWY36YkUzfTN8usZm+R5azcHjx4LmniGnhGOXAdBBpOCw8OMpCGglHL6kx1Lph1uoY68HinFSeWdwpNrP4uJIUTh3FMVLOuDSgUHsQlGiwzrt2WBwFGqrjQJPEjPdAcZ4kzijuFJtR/LteDDt18gpKJUPHAJVXIAoSwAVLwRAVBcOYjqphyCt7kDdPB2fydorN5M3k/R2TN0HXaI8ctFE2kVdLsLoowDspjKeRW82GIW+PDDWep4IzeTvFZvIOSN7VBPBiVlVtFy/bRsW6Nwwzh+8P9uMwQWa5pGCDMCASdcHIECFoIqkMnBE7zM4iTPXgcJ4GzhzuFJs5fAz5X6cOYO6VsJxRUKRgIJgToAuhIbHXaIvScDvMfiKsx0YTfI8NRTKAM4CPAcAPQWjrGptnW/pC9w2z4Q4qK/qZR8FeKKqjA64MBWGUACu8heikVUESE8Mw88C8R1owz7v9ZAh3ij1OCGcQdii4K0sYf7lNco4lR1h6y4hTQBwrQGgtwLHgIA2TJVOOG2dwGBT3yBHmeXefjOJOsRnFJ4/iqrSurMqmPJp3NryOEoXUQAqnQXjmoF2fA2KDYtEYqc1AQ+MeecI87+mTedwpNvP4hHl8rG8wF67dS8150IxaEIgEbExQdtE5qQLTjLlBeEx7JAvzvLVP5nGn2OPk8WEs2B3AexvzxfWkqWpMQhdv7LT899LpJwuMuMDkSS3hP7un3KaQc/OwYsK+VkSbJKWXLn3cs9wqEqGp8iC5lSC4CtBGC+COu4KlMb6wepjQIXqEDpVDRw4dXWJz6Dj60FHW8xw7DjZ2eBUEWb4fTnSKHVRHcNIKcJpSG3TkhR9oI7s+eYL5HcUcOzrFHmfsOPjpmMMIbhvTQMe7777Q3DCvCBTY5hByocF5UoAPiukYPCOFGATOG9kr7Rh/J5xPfcl0gVW61bf4wlbYdsyXq746i7HG5nIEqeHC7WLZHG1va28t1hexhl+aRUcH9au6dn5ObfsMSghJvevTlzx9QvO+4/Nt69IHLrPzE253kjprarv7zsb61v4VuHScWUCfXEtIKcAIy0Ea4iMx1EUyzEsSm/4lO/zr1JfAnvQvnv1rXXSY/kWM0EowhMACtmvMEQxVEiTh0SlqCm2Hj1+7Lmgd69SXNJ70L5b9a110mP7FCaOOOg+Fo8m/FBWghY2ARngdGEoh7OD+pTr869TnfZ/0L5r9a110mP4lpIgFUgXSm/aLlJGAFQrBFoUjhXWqGGgDr03/2tGgS/869bmxp/yLZPdaFx2me0kV0BTRgmckgnApkLnCIDjNJEFqojbDh68dk5dL9zr1TZqecq8cve6LDtO9vOCCa1TglAwgCLNghCyAWxe106mQD/Ol+w33Yp3fxDj1rXie8q/89HVfdJj+lTxIOB1UevAKMoWvIoJRLnUTq4k0jKAzcnD/2tEn7/zr1LdYecq/8uzhfdFh+leQhnIuTDu7Ids3Bh2YAj1Qr4mzREQSh0lr2xwedrgX22MDjco6rLYrafBdc/WB/Jbs0v61Vbq85EeM5bRs61spn/R64IerxfPHZuo29RctEnf0ofH5lrpbrbJ9/30/sRhMu+zpIT1pGxBGpOGLS30AOWOFCcZKP8xOgpt47TL/Hq/uf9L8Zx/oN+8CO9M3PsvW+6lNv2bX3Z1e8Lw9VgThMWCRhgGRpgF38KAD4WBQEWs5C14O8xG6jR67I/XnrsfusVx/0MDamV/zvHaOpCDMhAKEVG1aRjKxLWKyMyGG8xCkdoM/WHVlZbA9lo0P2s4dg8HntLPjVBOktE0PaJdXnAXHCoTk3cYSL01Qw7yStWHnruwAtsfy5bB2/qoY3y+vd8juMD6fp5/3A93xta1fXNvpG6yvoq1qHJ9vHFmfVdYvVgPel1PrKgwfT35csL6msnXzT4zJ/tevyxu8YoQVQBQw8pqaC0EvGP+eckkKaf7Vav/w7HU19fXs1xezaZNa86c2B7JG3978Wt3O8rsaPrbCq2vEZqvt2osfHG0vGp8vT736PxAa5+yKmQAA</AdaptiveCompressedXml>
</file>

<file path=customXml/item9.xml><?xml version="1.0" encoding="utf-8"?>
<AdaptiveCompressedXml id="b5cbb9b22f0e48af81e6eaa8aa4593cc">H4sIAAAAAAAEAO2d227kyJGG7xfYdxAEzNU4rDxEnhrqNoyxDQxgLIztufJNIQ+REu1SlbZI9fTY2CfzhR/Jr7BJSaPupoo11HgocUsJNFoSk2QEM/Pnl5En/usf/zz/zcer9ckH2rXNdvP2lP+anZ7QJm5Ts7l4e3rTZbCnv3n3n/9x/v6SqDv5Nr09DSqG4IIAkRkBWl/O4aSBvLfeo3IyxtOT//JX9Pb02/en5eKTk/O2v/x3lJtN0xVL7e3RcnxH19td9/7L1PvEknztd1378OfD+X8qh299yRgpa8eLca6KLzKCy55AuqCFtokZIU8/u77c4Y/b6L8wcn+8SSfdD9fFZ316cjZMjLRe/zalHbXtyW77/dvTkk1xu7656vMM91zwV/rhnTw/6398Yf1sr/nzuGs62jV+eBta0xVtuvcl633y1+Wc/qkHj3Tn/qbt/CbSo5TP0orLqTzg9qp9c5ePpZBXyXd+dVUS1iCBP36U3unRm//oYLvP7I7W5VE/0Dd+TZvkd7+/O/dkm3NL3dtTKBmXbna32fFdyfrbAm3f5Bb+p9s9fsS7jLq/17dpb/qXZ3DG2PnZT1zy0yd0t76N2etTi2S6pvvhu9v6Y/fl4Z2l0Tudn41k1p7CGMnyh4RSWQZ1bk/t6g3+qKQD+oo+yiKvDM6wDKiL1n0vN2uRdHTkvOKz60uN6Aurvg7rS1Z9PSQtU1/CZ6Y9WtAKi76siOBN5BCQuKNgOcM4u772XdALS1V9HdaXqPp6SFqovjTTkqECY3xpHzpM4JkqELMUPSMrZdaz68uM6EtXfR3WF6/6ekhapr5iNIhKSnCCSUDjHTgWHJASwUeLKJKbXV97MvRWX6bq66C+WJXXQ9Iy5SVzyNmZgi8pXcGXcmBdRFBROi5ctmjn795wI/KyVV4H5VXp9SlpmfJCJmO0IYPwpshLxgxOFXpZxZk2OZmIs7cOBRuRl6vyOiivGnx9SlqovLRzQlOGaAuzMGkB1gosbUWdglNMCzO/vPbUyVt5cVb1dVBftfPwU9JC9cWFZokxcBhiaR2SBB/IgPRMJy6FdWz+zvkxeYnp8loXr9fDm3T0sXv3d/a/pVz63wapt5d8GjC8d7749YUOT5rUH3xcTONF/ajC4On9n/0tU3P1Jmy3f101ab8U9974/Gzg7iBXhs8/NfYOjtusIjBjOKAmBd7bDKG0XUhHhZRx9tfrWPE/YezzYPGf/J2/eBXYEwD9zLJ+mtv8l6y6vnv5GhuUYgqNBMejALSE4COTYFPkPgURBOa5a6wcq7FPGE1c9AtrT4Y8+5vJeu5yIGCx73WXgYMXJcIqxSyD91IwL+Yu57FJGfwJo1qLLueRxuBzljOJUEoaBYR+zBJRcwgKE5jAKPRpVs1ezmOTA8QTuqfmLedf9DXet0DiTdttr1bb3YXfNH+7fZ4V20Pi564O3pugbM4gWMqlPRpKxfAyAOOZyk9iNFN10PipPox1p3D+yuO9+7TbKnnTppEQ7lHt28PLOy9oJAYamPKxu/Hrdqq5vW2tJ5grxd+0d7fqdjc01exjjW3bbhXLMdotxaPJqn+Cc/Fydb1rVnG7abfrplQ+mlwx9rYznmC6j6PeXHh//fVlU55s15RI/+s1XZT/P9BlE9c/P6sOhGhPcLAXWYn10696J1ep2VHsSm7RVXNzNdW1vQp+knp+Vibsb+wfsvvcPRcyWp49OMl4P67FIEjmIbLAPCemNbFZSKHMBFI8YV7GoluIe/u6nrdJ4IxlhBzBZW5LJNAHe1SaiQqD46WkQ9JpniYBm1DQr32CQG0SHDBbmwS1STB08NlwfLAp0m07v17t6ANtbmiyjJ7cFHneJgETJioVEhgtFCAFCw5VBiaEcQ6T8k7NQ4opTYLXPtelkuKA2UqKSoqhg8sgRaREafaY9ZlBobgJDiWQZRoQZYLgWB9SRG29xMxjmAUUZkpI8dpnbVVQHDBbQVFBMXRwGaDYUPd1s/lAbdefUH6N26vJObNwYGQtUiKuQDGdAQNmCGgjCIaC6yQJcZ5pUkb+NDDEa5+GWIFxwGwFRgXG0MFlAKP1a2pXwbclvrjviToSXGjNyEjvIRKz/ZLhADaiAa0scqeyEzhPR5TRE3BRZzFUXIyarbiouBg6uAxc+Lal7ihxkUkwyRyCiL7HhY9gGSnIiWnLdSGHmGdOs3ETcPGEVRgVFxUXFRc/4WDFxfPgIsbtzeY4gWGj9wETQRKUAUkYcLHwQ1lpQrQhYppnlrQVE4Dx2vesrMA4YLYCowJj6OAygLHtLmm3SiWLdk246ZdqHxk1smWBK5sg5UwlzIgITjEONguTsouM0UzUUBOo8dp3Yq3UOGC2UqNSY+jgMqjxacR7deGL8r8Sf1hv2/Zo5tSSQR5ztGCkDYBCePDOZdDClDijMETneVZfWDsBGq99e+EKjQNmKzQqNIYOLgMad6HGUc2Q0ppFScjAxcQBfUjgPGogzhRFyRPZeXahd1OGvF/7NtmVEwfMVk5UTgwdXAYnAm0oN127KgdXce2bq2MJK1Lw2stCiqxSAizkAEfCggwCY+ZWxTjPxnOcTRnCqKu6Ky9GzVZeVF4MHVwGL/xV/2a4L+9tLi+IyW4tnBfoHKGTESTLEpCSgyA0QcYUpDYktPDzhBdTcFFX7FVcjJqtuKi4GDq4DFx8EV7Qx2vaHM+4BWfEsw9YMJEIkFsPIblCDQxZ5qjJOpopwJgw2i3rkr1KjFGzlRiVGEMHl0GMIvabXa/2r+P26qpp+y++HwsxtEPrhM8gE3nA/mtpIXkGyQfGDFdc8nnWeHM2Yahb1lV7lRijZmckxgu+lJfxzrsoreSdXz80kPuNLlZ+vd5+P9uLb+DP9e5y1a1buviStzvKtKMipJ4uiwL5A01XxelbRT83PZ95NMOR4YwpoMTd/SdsoyMIWRgmFVlBdiZ0TFjBJ+sKvoqOUbMVHceNjlXcbBv6WNEx1aFnjjqIvDFGl6jDWMDQf3zNowGryUmtDHd+poFwPmFkQ9a1fBUdo2ZrP1Xtpxo6uAzwfr611D18j6SXyicto1QRTBQaUEgN1soM0WilpNbJRDkTL6aMa9RVfJUXo2YrLyovhg4ugxef7y11XLzgJiiDQYLA/psYqBx4TAJydDHnjDJpMxMvpoxq1AV8lRejZisvKi+GDi6DF3G7K++GUjCrr4S+X853vdumm9gdGT/IOaLgIjBmGKDKGlzyASQGi0x6H8U8n8rggk/gR13YV/kxarbyo/Jj6OAy+NGPAzV9NaS2OxJQcFKYjLaQhBKA2Tiw5A1wItICDWN8pkBDTPh0u6xf36ugGDVbQVFBMXRwGaB4gRkEz4uNIBmXWhpgKhtAyzwEwR2UyEIiyejtTPtLcTGhfwrrrNuKjVGzFRsVG0MHl4GNu62lVp3/uCoFXgqqvCZu+jfF9vpYlmuIKHjCfqZUZhKQpT7eCBaMlTkFi8ENi+KXAgdOGAjHOnGqgmPUbAVHBcfQwZcCRymQK+qzYxUvm3X6FTItBT8SSCRmpLDZFSoglugCPfikCJwi7j1Dinmm2bVqwugF1tlSFRKjZiskKiSGDi4xutjE5khoIaIL1lACU4ILwIwSnAkRPLMenbScp5mW8akJazGwzpWqtBg1+1pp8VJvxJem1Paadv5WcD795ebuCxTPvlTuICXu8fBvObp0YPQLLhLLoLwpwBD95CgtGRjjFOcuxIQzLcbAKeFFnRxVgTFqtq77nq+BfL27ax3nXeHdM/W+P+rWuVzFr4Te1m1DFosPZq0TWgnwQkRArxN4oyNIJzUlp5ySM+1RiGwCPuom6BUfo2YrPo4eH017XeGxWHhkljB7JPAYFaDOBkKIGdDGYIhQOpXngYecsOcU1i3RKzxGzVZ4HD086n6FC2aHMMI7w3yJNPpF4R4TWG0ZkHNBeacCy2wmdkzot1J1c/TKjlGzr3Wg46UHHOqw+GO7L0/e5+WGImvRKgsyoQXEnME6k8CXiKP8U5T8TOMdesKcW1UXa1RujJqt3KjcGDq4DG68gsUagSXFtSNISXBATgFcRASjs5XZJMfjTDOr9ITPg6u6QXoFx6jZCo4KjqGDywDH8QccnhEnGzx4KyOgzQy8cRECM5kp74xW8+w+5SaMcai6xq9iY9RsxUbFxtDBZWBjVxJ8e7O7TV9d+GbzlfjDetseCzQUo2SM6b/1amK/MjyDNVZDCEwoCjn5uUbGccKWIqou+qvUGDVbqVGpMXRwOSvDS3ubHQkkIukcuEgQbPSAqGM/kUqDl9lwm5zlJQSYBRJyylBGXbpRITFqtkKiQmLo4DJCi7t9bfvhjP+XmDg/uy5/frrx+aVvv7n0mwtq3+XyXqDzs8+OPJzVtN/cG/j9xoc1pR9PfpzwcM3at91/Uy5cuPyuYPadYEIDMyDYd9y9Qf6G46+dNU5L/ufzs+HZD7dpL7fff7Mtwt903/bybyn2WntwdzT97g4/5sL7S6Lud5SbTfMAmP7iL472F52f3Z767v8AWL5d+vf7AAA=</AdaptiveCompressedXml>
</file>

<file path=customXml/itemProps1.xml><?xml version="1.0" encoding="utf-8"?>
<ds:datastoreItem xmlns:ds="http://schemas.openxmlformats.org/officeDocument/2006/customXml" ds:itemID="{3A39DDEA-2F91-4D1F-AF13-4ECBE29829F0}">
  <ds:schemaRefs/>
</ds:datastoreItem>
</file>

<file path=customXml/itemProps2.xml><?xml version="1.0" encoding="utf-8"?>
<ds:datastoreItem xmlns:ds="http://schemas.openxmlformats.org/officeDocument/2006/customXml" ds:itemID="{3E4C37C6-B21B-4FCD-8820-D85E5591CD9B}">
  <ds:schemaRefs/>
</ds:datastoreItem>
</file>

<file path=customXml/itemProps3.xml><?xml version="1.0" encoding="utf-8"?>
<ds:datastoreItem xmlns:ds="http://schemas.openxmlformats.org/officeDocument/2006/customXml" ds:itemID="{722F724D-5178-46AB-B582-58EC863B25CB}">
  <ds:schemaRefs/>
</ds:datastoreItem>
</file>

<file path=customXml/itemProps4.xml><?xml version="1.0" encoding="utf-8"?>
<ds:datastoreItem xmlns:ds="http://schemas.openxmlformats.org/officeDocument/2006/customXml" ds:itemID="{F4D92D7F-9D27-48F1-B180-DD7F71AF59EA}">
  <ds:schemaRefs/>
</ds:datastoreItem>
</file>

<file path=customXml/itemProps5.xml><?xml version="1.0" encoding="utf-8"?>
<ds:datastoreItem xmlns:ds="http://schemas.openxmlformats.org/officeDocument/2006/customXml" ds:itemID="{F1BF0A1A-1907-4114-9F5F-740902FC2F70}">
  <ds:schemaRefs/>
</ds:datastoreItem>
</file>

<file path=customXml/itemProps6.xml><?xml version="1.0" encoding="utf-8"?>
<ds:datastoreItem xmlns:ds="http://schemas.openxmlformats.org/officeDocument/2006/customXml" ds:itemID="{4111E3CC-8102-4ADF-A368-34C6207D6055}">
  <ds:schemaRefs/>
</ds:datastoreItem>
</file>

<file path=customXml/itemProps7.xml><?xml version="1.0" encoding="utf-8"?>
<ds:datastoreItem xmlns:ds="http://schemas.openxmlformats.org/officeDocument/2006/customXml" ds:itemID="{7F13B0C8-0FFF-4A83-93F3-09A1A6A2390D}">
  <ds:schemaRefs/>
</ds:datastoreItem>
</file>

<file path=customXml/itemProps8.xml><?xml version="1.0" encoding="utf-8"?>
<ds:datastoreItem xmlns:ds="http://schemas.openxmlformats.org/officeDocument/2006/customXml" ds:itemID="{FABFB991-E0BD-42F3-87B3-900B2A40E80C}">
  <ds:schemaRefs/>
</ds:datastoreItem>
</file>

<file path=customXml/itemProps9.xml><?xml version="1.0" encoding="utf-8"?>
<ds:datastoreItem xmlns:ds="http://schemas.openxmlformats.org/officeDocument/2006/customXml" ds:itemID="{A4A2AA7B-48BE-438C-9DAF-185ADA1A2C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Cover</vt:lpstr>
      <vt:lpstr>Contents</vt:lpstr>
      <vt:lpstr>Preface</vt:lpstr>
      <vt:lpstr>BS</vt:lpstr>
      <vt:lpstr>Corp</vt:lpstr>
      <vt:lpstr>IS</vt:lpstr>
      <vt:lpstr>Recon</vt:lpstr>
      <vt:lpstr>Term 1</vt:lpstr>
      <vt:lpstr>Term 2</vt:lpstr>
      <vt:lpstr>ISP 1</vt:lpstr>
      <vt:lpstr>ISP 2</vt:lpstr>
      <vt:lpstr>CNO</vt:lpstr>
      <vt:lpstr>Inv 1</vt:lpstr>
      <vt:lpstr>Inv 2</vt:lpstr>
      <vt:lpstr>Inv 3</vt:lpstr>
      <vt:lpstr>5yr</vt:lpstr>
      <vt:lpstr>Manual</vt:lpstr>
      <vt:lpstr>CHECK</vt:lpstr>
      <vt:lpstr>IR</vt:lpstr>
      <vt:lpstr>maxvar</vt:lpstr>
      <vt:lpstr>minvar</vt:lpstr>
      <vt:lpstr>'5yr'!Print_Area</vt:lpstr>
      <vt:lpstr>BS!Print_Area</vt:lpstr>
      <vt:lpstr>CNO!Print_Area</vt:lpstr>
      <vt:lpstr>Contents!Print_Area</vt:lpstr>
      <vt:lpstr>Corp!Print_Area</vt:lpstr>
      <vt:lpstr>Cover!Print_Area</vt:lpstr>
      <vt:lpstr>'Inv 1'!Print_Area</vt:lpstr>
      <vt:lpstr>'Inv 2'!Print_Area</vt:lpstr>
      <vt:lpstr>'Inv 3'!Print_Area</vt:lpstr>
      <vt:lpstr>IS!Print_Area</vt:lpstr>
      <vt:lpstr>'ISP 1'!Print_Area</vt:lpstr>
      <vt:lpstr>'ISP 2'!Print_Area</vt:lpstr>
      <vt:lpstr>Preface!Print_Area</vt:lpstr>
      <vt:lpstr>Recon!Print_Area</vt:lpstr>
      <vt:lpstr>'Term 1'!Print_Area</vt:lpstr>
      <vt:lpstr>'Term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Sewell, Benjamin [PRI-1PP]</dc:creator>
  <cp:lastModifiedBy>Wilson, Noah [PRI-1PP]</cp:lastModifiedBy>
  <cp:lastPrinted>2026-07-17T13:21:40Z</cp:lastPrinted>
  <dcterms:created xsi:type="dcterms:W3CDTF">2023-03-21T14:54:17Z</dcterms:created>
  <dcterms:modified xsi:type="dcterms:W3CDTF">2026-07-30T19:43:08Z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aptiveDocumentId">
    <vt:lpwstr>dc71e284-a885-49df-84bd-026f340c0e13</vt:lpwstr>
  </property>
  <property fmtid="{D5CDD505-2E9C-101B-9397-08002B2CF9AE}" pid="3" name="AdaptiveReportingVersion">
    <vt:lpwstr>5</vt:lpwstr>
  </property>
  <property fmtid="{D5CDD505-2E9C-101B-9397-08002B2CF9AE}" pid="4" name="AdaptiveReportingRevision">
    <vt:lpwstr>0</vt:lpwstr>
  </property>
  <property fmtid="{D5CDD505-2E9C-101B-9397-08002B2CF9AE}" pid="5" name="AdaptiveCustomXmlPartId">
    <vt:lpwstr>7f13b0c8-0fff-4a83-93f3-09a1a6a2390d</vt:lpwstr>
  </property>
  <property fmtid="{D5CDD505-2E9C-101B-9397-08002B2CF9AE}" pid="6" name="{A44787D4-0540-4523-9961-78E4036D8C6D}">
    <vt:lpwstr>{59B951AF-3C1B-476F-A203-84CC42F02B5D}</vt:lpwstr>
  </property>
</Properties>
</file>