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C:\Users\Lerosen\Documents\Presentations\Earnings\Q4 2017\"/>
    </mc:Choice>
  </mc:AlternateContent>
  <bookViews>
    <workbookView xWindow="0" yWindow="0" windowWidth="20520" windowHeight="10260" tabRatio="913" firstSheet="2" activeTab="2"/>
  </bookViews>
  <sheets>
    <sheet name="Summary" sheetId="10" state="hidden" r:id="rId1"/>
    <sheet name="Segments Schedule" sheetId="2" state="hidden" r:id="rId2"/>
    <sheet name="Operating Results" sheetId="3" r:id="rId3"/>
    <sheet name="Segment Results" sheetId="14" r:id="rId4"/>
    <sheet name="Segment Revenue Detail History" sheetId="4" r:id="rId5"/>
    <sheet name="Segment EBITDA Detail History" sheetId="6" r:id="rId6"/>
    <sheet name="Investment Segments Detail " sheetId="11" r:id="rId7"/>
    <sheet name="Income Statement History" sheetId="9" r:id="rId8"/>
    <sheet name="Balance Sheet History" sheetId="12" r:id="rId9"/>
    <sheet name="EBITDA Reconciliation" sheetId="17" r:id="rId10"/>
    <sheet name="NonGAAP Financial Measures" sheetId="13" r:id="rId11"/>
  </sheets>
  <definedNames>
    <definedName name="_xlnm.Print_Area" localSheetId="8">'Balance Sheet History'!$A$1:$U$36</definedName>
    <definedName name="_xlnm.Print_Area" localSheetId="9">'EBITDA Reconciliation'!$A$1:$W$24</definedName>
    <definedName name="_xlnm.Print_Area" localSheetId="7">'Income Statement History'!$A$5:$U$141</definedName>
    <definedName name="_xlnm.Print_Area" localSheetId="6">'Investment Segments Detail '!$A$1:$V$13</definedName>
    <definedName name="_xlnm.Print_Area" localSheetId="10">'NonGAAP Financial Measures'!$A$1:$B$15</definedName>
    <definedName name="_xlnm.Print_Area" localSheetId="2">'Operating Results'!$A$1:$H$48</definedName>
    <definedName name="_xlnm.Print_Area" localSheetId="5">'Segment EBITDA Detail History'!$A$4:$U$152</definedName>
    <definedName name="_xlnm.Print_Area" localSheetId="3">'Segment Results'!$A$9:$M$41</definedName>
    <definedName name="_xlnm.Print_Area" localSheetId="4">'Segment Revenue Detail History'!$A$4:$U$160</definedName>
    <definedName name="_xlnm.Print_Titles" localSheetId="7">'Income Statement History'!$1:$3</definedName>
    <definedName name="_xlnm.Print_Titles" localSheetId="5">'Segment EBITDA Detail History'!$1:$3</definedName>
    <definedName name="_xlnm.Print_Titles" localSheetId="4">'Segment Revenue Detail History'!$1:$3</definedName>
    <definedName name="Segment_3mo_CY" comment="Segment table CY 3 months">'Segment Results'!$A$11:$M$40</definedName>
    <definedName name="Segment_3mo_PY" comment="Segment table PY 3 months">'Segment Results'!$A$45:$M$76</definedName>
    <definedName name="Segment_YTD_CY" comment="Segment table CY YTD">'Segment Results'!$A$81:$M$111</definedName>
    <definedName name="Segment_YTD_PY" comment="Segment table PY YTD">'Segment Results'!$A$116:$M$147</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3" i="9" l="1"/>
  <c r="U10" i="9"/>
  <c r="U20" i="6" l="1"/>
  <c r="U19" i="6"/>
  <c r="U11" i="6"/>
  <c r="U10" i="6"/>
  <c r="U9" i="6"/>
  <c r="U7" i="6"/>
  <c r="U6" i="6"/>
  <c r="U5" i="6"/>
  <c r="U18" i="6" l="1"/>
  <c r="U16" i="6"/>
  <c r="Q107" i="6"/>
  <c r="P5" i="6"/>
  <c r="W20" i="17" l="1"/>
  <c r="W18" i="17"/>
  <c r="W17" i="17"/>
  <c r="W12" i="17"/>
  <c r="W10" i="17"/>
  <c r="W9" i="17"/>
  <c r="W8" i="17"/>
  <c r="V12" i="17"/>
  <c r="V10" i="17"/>
  <c r="V9" i="17"/>
  <c r="V8" i="17"/>
  <c r="V7" i="17"/>
  <c r="U27" i="12"/>
  <c r="U26" i="12"/>
  <c r="U28" i="12" s="1"/>
  <c r="U22" i="12"/>
  <c r="U21" i="12"/>
  <c r="U20" i="12"/>
  <c r="U19" i="12"/>
  <c r="U18" i="12"/>
  <c r="U17" i="12"/>
  <c r="U16" i="12"/>
  <c r="U12" i="12"/>
  <c r="U11" i="12"/>
  <c r="U10" i="12"/>
  <c r="U9" i="12"/>
  <c r="U8" i="12"/>
  <c r="U7" i="12"/>
  <c r="U6" i="12"/>
  <c r="U5" i="12"/>
  <c r="T28" i="12"/>
  <c r="T23" i="12"/>
  <c r="T13" i="12"/>
  <c r="U112" i="9"/>
  <c r="U76" i="9"/>
  <c r="T63" i="9"/>
  <c r="T71" i="9" s="1"/>
  <c r="U71" i="9" s="1"/>
  <c r="U129" i="9"/>
  <c r="U97" i="9"/>
  <c r="U93" i="9"/>
  <c r="U91" i="9"/>
  <c r="U82" i="9"/>
  <c r="U72" i="9"/>
  <c r="U66" i="9"/>
  <c r="U61" i="9"/>
  <c r="U60" i="9"/>
  <c r="U59" i="9"/>
  <c r="U58" i="9"/>
  <c r="U57" i="9"/>
  <c r="U56" i="9"/>
  <c r="U54" i="9"/>
  <c r="U53" i="9"/>
  <c r="U47" i="9"/>
  <c r="U45" i="9"/>
  <c r="U44" i="9"/>
  <c r="U46" i="9" s="1"/>
  <c r="U35" i="9"/>
  <c r="U34" i="9"/>
  <c r="U31" i="9"/>
  <c r="U28" i="9"/>
  <c r="U121" i="9" s="1"/>
  <c r="U25" i="9"/>
  <c r="U23" i="9"/>
  <c r="U22" i="9"/>
  <c r="U21" i="9"/>
  <c r="U20" i="9"/>
  <c r="U19" i="9"/>
  <c r="U18" i="9"/>
  <c r="U15" i="9"/>
  <c r="U12" i="9"/>
  <c r="W7" i="17" s="1"/>
  <c r="U11" i="9"/>
  <c r="U7" i="9"/>
  <c r="U6" i="9"/>
  <c r="T129" i="9"/>
  <c r="T121" i="9"/>
  <c r="T119" i="9"/>
  <c r="T112" i="9"/>
  <c r="T102" i="9"/>
  <c r="U102" i="9" s="1"/>
  <c r="U137" i="9" s="1"/>
  <c r="T97" i="9"/>
  <c r="T107" i="9" s="1"/>
  <c r="U107" i="9" s="1"/>
  <c r="U70" i="9" s="1"/>
  <c r="T96" i="9"/>
  <c r="T105" i="9" s="1"/>
  <c r="U105" i="9" s="1"/>
  <c r="U69" i="9" s="1"/>
  <c r="T95" i="9"/>
  <c r="U95" i="9" s="1"/>
  <c r="T94" i="9"/>
  <c r="U94" i="9" s="1"/>
  <c r="T90" i="9"/>
  <c r="U90" i="9" s="1"/>
  <c r="T87" i="9"/>
  <c r="T86" i="9"/>
  <c r="T85" i="9"/>
  <c r="T83" i="9"/>
  <c r="T82" i="9"/>
  <c r="T81" i="9"/>
  <c r="U81" i="9" s="1"/>
  <c r="T76" i="9"/>
  <c r="T73" i="9"/>
  <c r="T51" i="9"/>
  <c r="T55" i="9" s="1"/>
  <c r="T62" i="9" s="1"/>
  <c r="T36" i="9"/>
  <c r="T35" i="9"/>
  <c r="T34" i="9"/>
  <c r="T33" i="9"/>
  <c r="U33" i="9" s="1"/>
  <c r="T31" i="9"/>
  <c r="T13" i="9"/>
  <c r="T8" i="9"/>
  <c r="U140" i="6"/>
  <c r="U138" i="6"/>
  <c r="U136" i="6"/>
  <c r="U134" i="6"/>
  <c r="U132" i="6"/>
  <c r="U130" i="6"/>
  <c r="U129" i="6"/>
  <c r="U128" i="6"/>
  <c r="U126" i="6"/>
  <c r="U119" i="6"/>
  <c r="U117" i="6"/>
  <c r="U115" i="6"/>
  <c r="U114" i="6"/>
  <c r="U113" i="6"/>
  <c r="U111" i="6"/>
  <c r="U106" i="6"/>
  <c r="U105" i="6"/>
  <c r="U107" i="6" s="1"/>
  <c r="U103" i="6"/>
  <c r="U96" i="6"/>
  <c r="U94" i="6"/>
  <c r="U91" i="6"/>
  <c r="U90" i="6"/>
  <c r="U86" i="6"/>
  <c r="U83" i="6"/>
  <c r="U82" i="6"/>
  <c r="U81" i="6"/>
  <c r="U78" i="6"/>
  <c r="U77" i="6"/>
  <c r="U67" i="6"/>
  <c r="U72" i="6"/>
  <c r="U70" i="6"/>
  <c r="U66" i="6"/>
  <c r="U64" i="6"/>
  <c r="U62" i="6"/>
  <c r="U60" i="6"/>
  <c r="U59" i="6"/>
  <c r="U58" i="6"/>
  <c r="U57" i="6"/>
  <c r="U55" i="6"/>
  <c r="U54" i="6"/>
  <c r="U53" i="6"/>
  <c r="U48" i="6"/>
  <c r="U46" i="6"/>
  <c r="U42" i="6"/>
  <c r="U35" i="6"/>
  <c r="U34" i="6"/>
  <c r="U36" i="6" s="1"/>
  <c r="U33" i="6"/>
  <c r="U31" i="6"/>
  <c r="U30" i="6"/>
  <c r="U29" i="6"/>
  <c r="U153" i="4"/>
  <c r="T154" i="4"/>
  <c r="T153" i="4"/>
  <c r="U146" i="4"/>
  <c r="U145" i="4"/>
  <c r="U144" i="4"/>
  <c r="U143" i="4"/>
  <c r="T146" i="4"/>
  <c r="T145" i="4"/>
  <c r="T144" i="4"/>
  <c r="T143" i="4"/>
  <c r="U13" i="9" l="1"/>
  <c r="U79" i="6"/>
  <c r="U84" i="6"/>
  <c r="T30" i="12"/>
  <c r="U23" i="12"/>
  <c r="U30" i="12" s="1"/>
  <c r="U13" i="12"/>
  <c r="T99" i="9"/>
  <c r="T135" i="9" s="1"/>
  <c r="T127" i="9"/>
  <c r="T137" i="9"/>
  <c r="U99" i="9"/>
  <c r="U135" i="9" s="1"/>
  <c r="U96" i="9"/>
  <c r="T109" i="9"/>
  <c r="T17" i="9"/>
  <c r="T24" i="9" s="1"/>
  <c r="T27" i="9" s="1"/>
  <c r="T29" i="9" s="1"/>
  <c r="V4" i="17" s="1"/>
  <c r="T88" i="9"/>
  <c r="T92" i="9" s="1"/>
  <c r="U86" i="9"/>
  <c r="U8" i="9"/>
  <c r="U83" i="9"/>
  <c r="U119" i="9"/>
  <c r="T128" i="9"/>
  <c r="T130" i="9" s="1"/>
  <c r="T131" i="9" s="1"/>
  <c r="T64" i="9"/>
  <c r="T65" i="9"/>
  <c r="T67" i="9" s="1"/>
  <c r="T108" i="9"/>
  <c r="U108" i="9" s="1"/>
  <c r="U71" i="6"/>
  <c r="U73" i="6" s="1"/>
  <c r="U74" i="6" s="1"/>
  <c r="U63" i="9" l="1"/>
  <c r="T26" i="9"/>
  <c r="T120" i="9"/>
  <c r="T122" i="9" s="1"/>
  <c r="T123" i="9" s="1"/>
  <c r="T98" i="9"/>
  <c r="T40" i="9"/>
  <c r="T37" i="9"/>
  <c r="V14" i="17" s="1"/>
  <c r="T77" i="9"/>
  <c r="T74" i="9"/>
  <c r="U127" i="9" l="1"/>
  <c r="T100" i="9"/>
  <c r="T136" i="9"/>
  <c r="T138" i="9" s="1"/>
  <c r="T139" i="9" s="1"/>
  <c r="T101" i="9"/>
  <c r="T103" i="9" l="1"/>
  <c r="T113" i="9" l="1"/>
  <c r="T110" i="9"/>
  <c r="V22" i="17" s="1"/>
  <c r="U132" i="4"/>
  <c r="U131" i="4"/>
  <c r="U130" i="4"/>
  <c r="U129" i="4"/>
  <c r="U128" i="4"/>
  <c r="U127" i="4"/>
  <c r="U126" i="4"/>
  <c r="U125" i="4"/>
  <c r="T132" i="4"/>
  <c r="T131" i="4"/>
  <c r="T130" i="4"/>
  <c r="T129" i="4"/>
  <c r="T128" i="4"/>
  <c r="T127" i="4"/>
  <c r="T126" i="4"/>
  <c r="T125" i="4"/>
  <c r="U105" i="4"/>
  <c r="U104" i="4"/>
  <c r="U103" i="4"/>
  <c r="U102" i="4"/>
  <c r="U101" i="4"/>
  <c r="U100" i="4"/>
  <c r="U99" i="4"/>
  <c r="T107" i="4"/>
  <c r="T106" i="4"/>
  <c r="T105" i="4"/>
  <c r="T104" i="4"/>
  <c r="T103" i="4"/>
  <c r="T102" i="4"/>
  <c r="T101" i="4"/>
  <c r="T100" i="4"/>
  <c r="T99" i="4"/>
  <c r="U81" i="4"/>
  <c r="U80" i="4"/>
  <c r="U79" i="4"/>
  <c r="U78" i="4"/>
  <c r="U77" i="4"/>
  <c r="U76" i="4"/>
  <c r="U75" i="4"/>
  <c r="U74" i="4"/>
  <c r="U73" i="4"/>
  <c r="T81" i="4"/>
  <c r="T80" i="4"/>
  <c r="T79" i="4"/>
  <c r="T78" i="4"/>
  <c r="T77" i="4"/>
  <c r="T76" i="4"/>
  <c r="T75" i="4"/>
  <c r="T74" i="4"/>
  <c r="T73" i="4"/>
  <c r="T30" i="6"/>
  <c r="U146" i="6" l="1"/>
  <c r="U141" i="6"/>
  <c r="U143" i="6" s="1"/>
  <c r="U118" i="6"/>
  <c r="U120" i="6" s="1"/>
  <c r="U121" i="6" s="1"/>
  <c r="U109" i="6"/>
  <c r="U38" i="6"/>
  <c r="U24" i="6"/>
  <c r="U22" i="6"/>
  <c r="U14" i="6"/>
  <c r="U12" i="6"/>
  <c r="T146" i="6"/>
  <c r="T140" i="6"/>
  <c r="T130" i="6"/>
  <c r="T134" i="6" s="1"/>
  <c r="T141" i="6" s="1"/>
  <c r="T143" i="6" s="1"/>
  <c r="T117" i="6"/>
  <c r="T107" i="6"/>
  <c r="T111" i="6" s="1"/>
  <c r="T118" i="6" s="1"/>
  <c r="T120" i="6" s="1"/>
  <c r="T121" i="6" s="1"/>
  <c r="T94" i="6"/>
  <c r="T84" i="6"/>
  <c r="T79" i="6"/>
  <c r="T70" i="6"/>
  <c r="T60" i="6"/>
  <c r="T64" i="6" s="1"/>
  <c r="T71" i="6" s="1"/>
  <c r="T73" i="6" s="1"/>
  <c r="T74" i="6" s="1"/>
  <c r="T55" i="6"/>
  <c r="T46" i="6"/>
  <c r="T36" i="6"/>
  <c r="T31" i="6"/>
  <c r="T22" i="6"/>
  <c r="T12" i="6"/>
  <c r="T16" i="6" s="1"/>
  <c r="T23" i="6" s="1"/>
  <c r="T25" i="6" s="1"/>
  <c r="T26" i="6" s="1"/>
  <c r="T7" i="6"/>
  <c r="R56" i="4"/>
  <c r="U52" i="4"/>
  <c r="T56" i="4"/>
  <c r="T150" i="4" s="1"/>
  <c r="U53" i="4"/>
  <c r="T27" i="4"/>
  <c r="U27" i="4" s="1"/>
  <c r="T14" i="4"/>
  <c r="U50" i="4"/>
  <c r="U149" i="4" s="1"/>
  <c r="U46" i="4"/>
  <c r="U44" i="4"/>
  <c r="U37" i="4"/>
  <c r="U36" i="4"/>
  <c r="U35" i="4"/>
  <c r="U34" i="4"/>
  <c r="U33" i="4"/>
  <c r="U32" i="4"/>
  <c r="U31" i="4"/>
  <c r="U24" i="4"/>
  <c r="U23" i="4"/>
  <c r="U22" i="4"/>
  <c r="U21" i="4"/>
  <c r="U20" i="4"/>
  <c r="U19" i="4"/>
  <c r="U18" i="4"/>
  <c r="U10" i="4"/>
  <c r="U9" i="4"/>
  <c r="U8" i="4"/>
  <c r="U7" i="4"/>
  <c r="U5" i="4"/>
  <c r="T149" i="4"/>
  <c r="T47" i="4"/>
  <c r="U11" i="4"/>
  <c r="T13" i="4"/>
  <c r="K33" i="14"/>
  <c r="I33" i="14"/>
  <c r="G33" i="14"/>
  <c r="E33" i="14"/>
  <c r="C33" i="14"/>
  <c r="F24" i="3"/>
  <c r="U56" i="4" l="1"/>
  <c r="U147" i="6"/>
  <c r="T147" i="6"/>
  <c r="T40" i="6"/>
  <c r="T47" i="6" s="1"/>
  <c r="T49" i="6" s="1"/>
  <c r="T50" i="6" s="1"/>
  <c r="U40" i="6"/>
  <c r="U47" i="6" s="1"/>
  <c r="U144" i="6"/>
  <c r="T144" i="6"/>
  <c r="U45" i="4"/>
  <c r="U47" i="4" s="1"/>
  <c r="U6" i="4"/>
  <c r="U12" i="4"/>
  <c r="U14" i="4"/>
  <c r="T26" i="4"/>
  <c r="U154" i="4" l="1"/>
  <c r="U150" i="4" s="1"/>
  <c r="T95" i="6"/>
  <c r="T97" i="6" s="1"/>
  <c r="T98" i="6" s="1"/>
  <c r="U88" i="6"/>
  <c r="U95" i="6" s="1"/>
  <c r="U97" i="6" s="1"/>
  <c r="U98" i="6" s="1"/>
  <c r="U49" i="6"/>
  <c r="U50" i="6" s="1"/>
  <c r="U38" i="4"/>
  <c r="U25" i="4"/>
  <c r="U106" i="4" s="1"/>
  <c r="T15" i="4"/>
  <c r="U13" i="4"/>
  <c r="T39" i="4"/>
  <c r="T40" i="4" s="1"/>
  <c r="T28" i="4"/>
  <c r="U23" i="6" l="1"/>
  <c r="U25" i="6"/>
  <c r="U26" i="6" s="1"/>
  <c r="U39" i="4"/>
  <c r="U26" i="4"/>
  <c r="U107" i="4" s="1"/>
  <c r="U15" i="4"/>
  <c r="U40" i="4"/>
  <c r="T41" i="4" l="1"/>
  <c r="U41" i="4"/>
  <c r="U28" i="4"/>
  <c r="V9" i="11" l="1"/>
  <c r="V5" i="11"/>
  <c r="V4" i="11"/>
  <c r="R36" i="9" l="1"/>
  <c r="Q36" i="9"/>
  <c r="R35" i="9"/>
  <c r="Q35" i="9"/>
  <c r="R34" i="9"/>
  <c r="Q34" i="9"/>
  <c r="R33" i="9"/>
  <c r="Q33" i="9"/>
  <c r="O36" i="9"/>
  <c r="N36" i="9"/>
  <c r="M36" i="9"/>
  <c r="L36" i="9"/>
  <c r="O35" i="9"/>
  <c r="N35" i="9"/>
  <c r="M35" i="9"/>
  <c r="L35" i="9"/>
  <c r="O34" i="9"/>
  <c r="N34" i="9"/>
  <c r="M34" i="9"/>
  <c r="L34" i="9"/>
  <c r="O33" i="9"/>
  <c r="N33" i="9"/>
  <c r="M33" i="9"/>
  <c r="L33" i="9"/>
  <c r="J36" i="9"/>
  <c r="I36" i="9"/>
  <c r="H36" i="9"/>
  <c r="G36" i="9"/>
  <c r="J35" i="9"/>
  <c r="I35" i="9"/>
  <c r="K35" i="9" s="1"/>
  <c r="H35" i="9"/>
  <c r="G35" i="9"/>
  <c r="J34" i="9"/>
  <c r="I34" i="9"/>
  <c r="H34" i="9"/>
  <c r="G34" i="9"/>
  <c r="J33" i="9"/>
  <c r="I33" i="9"/>
  <c r="H33" i="9"/>
  <c r="G33" i="9"/>
  <c r="E36" i="9"/>
  <c r="E35" i="9"/>
  <c r="E34" i="9"/>
  <c r="E33" i="9"/>
  <c r="D36" i="9"/>
  <c r="D35" i="9"/>
  <c r="D34" i="9"/>
  <c r="D33" i="9"/>
  <c r="C36" i="9"/>
  <c r="C35" i="9"/>
  <c r="C34" i="9"/>
  <c r="C33" i="9"/>
  <c r="B36" i="9"/>
  <c r="B35" i="9"/>
  <c r="F35" i="9" s="1"/>
  <c r="B34" i="9"/>
  <c r="B33" i="9"/>
  <c r="F33" i="9" s="1"/>
  <c r="R109" i="9"/>
  <c r="Q109" i="9"/>
  <c r="R108" i="9"/>
  <c r="Q108" i="9"/>
  <c r="R107" i="9"/>
  <c r="Q107" i="9"/>
  <c r="O109" i="9"/>
  <c r="N109" i="9"/>
  <c r="M109" i="9"/>
  <c r="L109" i="9"/>
  <c r="P109" i="9" s="1"/>
  <c r="O108" i="9"/>
  <c r="N108" i="9"/>
  <c r="M108" i="9"/>
  <c r="L108" i="9"/>
  <c r="P108" i="9" s="1"/>
  <c r="O107" i="9"/>
  <c r="N107" i="9"/>
  <c r="M107" i="9"/>
  <c r="L107" i="9"/>
  <c r="P107" i="9" s="1"/>
  <c r="J109" i="9"/>
  <c r="I109" i="9"/>
  <c r="H109" i="9"/>
  <c r="G109" i="9"/>
  <c r="K109" i="9" s="1"/>
  <c r="J108" i="9"/>
  <c r="I108" i="9"/>
  <c r="H108" i="9"/>
  <c r="G108" i="9"/>
  <c r="K108" i="9" s="1"/>
  <c r="J107" i="9"/>
  <c r="I107" i="9"/>
  <c r="H107" i="9"/>
  <c r="G107" i="9"/>
  <c r="E109" i="9"/>
  <c r="E108" i="9"/>
  <c r="E107" i="9"/>
  <c r="D109" i="9"/>
  <c r="F109" i="9" s="1"/>
  <c r="D108" i="9"/>
  <c r="D107" i="9"/>
  <c r="C109" i="9"/>
  <c r="C108" i="9"/>
  <c r="F108" i="9" s="1"/>
  <c r="C107" i="9"/>
  <c r="B109" i="9"/>
  <c r="B108" i="9"/>
  <c r="B107" i="9"/>
  <c r="P99" i="9"/>
  <c r="K99" i="9"/>
  <c r="F99" i="9"/>
  <c r="R88" i="9"/>
  <c r="Q88" i="9"/>
  <c r="O88" i="9"/>
  <c r="N88" i="9"/>
  <c r="M88" i="9"/>
  <c r="L88" i="9"/>
  <c r="J88" i="9"/>
  <c r="I88" i="9"/>
  <c r="H88" i="9"/>
  <c r="G88" i="9"/>
  <c r="E88" i="9"/>
  <c r="D88" i="9"/>
  <c r="C88" i="9"/>
  <c r="B88" i="9"/>
  <c r="P105" i="9"/>
  <c r="P102" i="9"/>
  <c r="P97" i="9"/>
  <c r="P96" i="9"/>
  <c r="P95" i="9"/>
  <c r="P94" i="9"/>
  <c r="P93" i="9"/>
  <c r="P91" i="9"/>
  <c r="P90" i="9"/>
  <c r="P87" i="9"/>
  <c r="P86" i="9"/>
  <c r="P88" i="9" s="1"/>
  <c r="P85" i="9"/>
  <c r="P82" i="9"/>
  <c r="P81" i="9"/>
  <c r="K105" i="9"/>
  <c r="K69" i="9" s="1"/>
  <c r="K102" i="9"/>
  <c r="K97" i="9"/>
  <c r="K96" i="9"/>
  <c r="K95" i="9"/>
  <c r="K94" i="9"/>
  <c r="K93" i="9"/>
  <c r="K91" i="9"/>
  <c r="K90" i="9"/>
  <c r="K87" i="9"/>
  <c r="K86" i="9"/>
  <c r="K85" i="9"/>
  <c r="K88" i="9" s="1"/>
  <c r="K82" i="9"/>
  <c r="K81" i="9"/>
  <c r="F105" i="9"/>
  <c r="F102" i="9"/>
  <c r="F97" i="9"/>
  <c r="F96" i="9"/>
  <c r="F95" i="9"/>
  <c r="F94" i="9"/>
  <c r="F93" i="9"/>
  <c r="F91" i="9"/>
  <c r="F90" i="9"/>
  <c r="F87" i="9"/>
  <c r="F88" i="9" s="1"/>
  <c r="F86" i="9"/>
  <c r="F85" i="9"/>
  <c r="F82" i="9"/>
  <c r="F81" i="9"/>
  <c r="P72" i="9"/>
  <c r="P61" i="9"/>
  <c r="P54" i="9"/>
  <c r="P47" i="9"/>
  <c r="P45" i="9"/>
  <c r="P46" i="9" s="1"/>
  <c r="P44" i="9"/>
  <c r="K61" i="9"/>
  <c r="K60" i="9"/>
  <c r="K54" i="9"/>
  <c r="K47" i="9"/>
  <c r="F61" i="9"/>
  <c r="F54" i="9"/>
  <c r="P33" i="9"/>
  <c r="P31" i="9"/>
  <c r="P69" i="9" s="1"/>
  <c r="P28" i="9"/>
  <c r="P25" i="9"/>
  <c r="P23" i="9"/>
  <c r="P22" i="9"/>
  <c r="P21" i="9"/>
  <c r="P20" i="9"/>
  <c r="P19" i="9"/>
  <c r="P18" i="9"/>
  <c r="P15" i="9"/>
  <c r="P13" i="9"/>
  <c r="P12" i="9"/>
  <c r="P11" i="9"/>
  <c r="P10" i="9"/>
  <c r="P8" i="9"/>
  <c r="P7" i="9"/>
  <c r="P6" i="9"/>
  <c r="K31" i="9"/>
  <c r="K28" i="9"/>
  <c r="K25" i="9"/>
  <c r="K23" i="9"/>
  <c r="K22" i="9"/>
  <c r="K21" i="9"/>
  <c r="K20" i="9"/>
  <c r="K19" i="9"/>
  <c r="K18" i="9"/>
  <c r="K15" i="9"/>
  <c r="K12" i="9"/>
  <c r="K11" i="9"/>
  <c r="K10" i="9"/>
  <c r="K13" i="9" s="1"/>
  <c r="K7" i="9"/>
  <c r="K8" i="9" s="1"/>
  <c r="K6" i="9"/>
  <c r="F34" i="9"/>
  <c r="F31" i="9"/>
  <c r="F28" i="9"/>
  <c r="F25" i="9"/>
  <c r="F23" i="9"/>
  <c r="F22" i="9"/>
  <c r="F21" i="9"/>
  <c r="F20" i="9"/>
  <c r="F19" i="9"/>
  <c r="F18" i="9"/>
  <c r="F15" i="9"/>
  <c r="F12" i="9"/>
  <c r="F11" i="9"/>
  <c r="F10" i="9"/>
  <c r="F7" i="9"/>
  <c r="F6" i="9"/>
  <c r="S27" i="4"/>
  <c r="K83" i="9" l="1"/>
  <c r="K107" i="9"/>
  <c r="P83" i="9"/>
  <c r="P63" i="9"/>
  <c r="F36" i="9"/>
  <c r="K36" i="9"/>
  <c r="P34" i="9"/>
  <c r="K63" i="9"/>
  <c r="K33" i="9"/>
  <c r="K70" i="9" s="1"/>
  <c r="K34" i="9"/>
  <c r="P35" i="9"/>
  <c r="P36" i="9"/>
  <c r="P70" i="9"/>
  <c r="F107" i="9"/>
  <c r="E12" i="17" l="1"/>
  <c r="F12" i="17"/>
  <c r="G12" i="17"/>
  <c r="H12" i="17"/>
  <c r="I12" i="17"/>
  <c r="J12" i="17"/>
  <c r="K12" i="17"/>
  <c r="L12" i="17"/>
  <c r="M12" i="17"/>
  <c r="N12" i="17"/>
  <c r="O12" i="17"/>
  <c r="P12" i="17"/>
  <c r="Q12" i="17"/>
  <c r="R12" i="17"/>
  <c r="S12" i="17"/>
  <c r="T12" i="17"/>
  <c r="U12" i="17"/>
  <c r="D12" i="17"/>
  <c r="E10" i="17"/>
  <c r="F10" i="17"/>
  <c r="G10" i="17"/>
  <c r="I10" i="17"/>
  <c r="J10" i="17"/>
  <c r="K10" i="17"/>
  <c r="L10" i="17"/>
  <c r="M10" i="17"/>
  <c r="N10" i="17"/>
  <c r="O10" i="17"/>
  <c r="P10" i="17"/>
  <c r="Q10" i="17"/>
  <c r="R10" i="17"/>
  <c r="S10" i="17"/>
  <c r="T10" i="17"/>
  <c r="D10" i="17"/>
  <c r="E9" i="17"/>
  <c r="F9" i="17"/>
  <c r="G9" i="17"/>
  <c r="H9" i="17"/>
  <c r="I9" i="17"/>
  <c r="J9" i="17"/>
  <c r="K9" i="17"/>
  <c r="L9" i="17"/>
  <c r="M9" i="17"/>
  <c r="N9" i="17"/>
  <c r="O9" i="17"/>
  <c r="P9" i="17"/>
  <c r="Q9" i="17"/>
  <c r="R9" i="17"/>
  <c r="S9" i="17"/>
  <c r="T9" i="17"/>
  <c r="U9" i="17"/>
  <c r="D9" i="17"/>
  <c r="U8" i="17"/>
  <c r="T8" i="17"/>
  <c r="S8" i="17"/>
  <c r="R8" i="17"/>
  <c r="Q8" i="17"/>
  <c r="P8" i="17"/>
  <c r="O8" i="17"/>
  <c r="N8" i="17"/>
  <c r="M8" i="17"/>
  <c r="L8" i="17"/>
  <c r="K8" i="17"/>
  <c r="J8" i="17"/>
  <c r="I8" i="17"/>
  <c r="H8" i="17"/>
  <c r="G8" i="17"/>
  <c r="F8" i="17"/>
  <c r="E8" i="17"/>
  <c r="D8" i="17"/>
  <c r="E7" i="17"/>
  <c r="F7" i="17"/>
  <c r="G7" i="17"/>
  <c r="H7" i="17"/>
  <c r="I7" i="17"/>
  <c r="J7" i="17"/>
  <c r="K7" i="17"/>
  <c r="L7" i="17"/>
  <c r="M7" i="17"/>
  <c r="N7" i="17"/>
  <c r="O7" i="17"/>
  <c r="P7" i="17"/>
  <c r="Q7" i="17"/>
  <c r="R7" i="17"/>
  <c r="S7" i="17"/>
  <c r="T7" i="17"/>
  <c r="U7" i="17"/>
  <c r="D7" i="17"/>
  <c r="B32" i="3" l="1"/>
  <c r="H17" i="17" l="1"/>
  <c r="M17" i="17"/>
  <c r="R17" i="17"/>
  <c r="H18" i="17"/>
  <c r="M18" i="17"/>
  <c r="R18" i="17"/>
  <c r="H20" i="17"/>
  <c r="M20" i="17"/>
  <c r="R20" i="17"/>
  <c r="C53" i="4" l="1"/>
  <c r="D53" i="4"/>
  <c r="E53" i="4"/>
  <c r="F53" i="4"/>
  <c r="G53" i="4"/>
  <c r="H53" i="4"/>
  <c r="I53" i="4"/>
  <c r="J53" i="4"/>
  <c r="K53" i="4"/>
  <c r="L53" i="4"/>
  <c r="M53" i="4"/>
  <c r="N53" i="4"/>
  <c r="O53" i="4"/>
  <c r="P53" i="4"/>
  <c r="S53" i="4"/>
  <c r="C52" i="4"/>
  <c r="D52" i="4"/>
  <c r="E52" i="4"/>
  <c r="F52" i="4"/>
  <c r="G52" i="4"/>
  <c r="H52" i="4"/>
  <c r="I52" i="4"/>
  <c r="J52" i="4"/>
  <c r="K52" i="4"/>
  <c r="L52" i="4"/>
  <c r="M52" i="4"/>
  <c r="N52" i="4"/>
  <c r="O52" i="4"/>
  <c r="P52" i="4"/>
  <c r="Q52" i="4"/>
  <c r="S52" i="4"/>
  <c r="C55" i="4"/>
  <c r="D55" i="4"/>
  <c r="E55" i="4"/>
  <c r="F55" i="4"/>
  <c r="G55" i="4"/>
  <c r="H55" i="4"/>
  <c r="I55" i="4"/>
  <c r="J55" i="4"/>
  <c r="K55" i="4"/>
  <c r="L55" i="4"/>
  <c r="M55" i="4"/>
  <c r="N55" i="4"/>
  <c r="O55" i="4"/>
  <c r="P55" i="4"/>
  <c r="R55" i="4"/>
  <c r="S55" i="4"/>
  <c r="B55" i="4"/>
  <c r="B53" i="4"/>
  <c r="B52" i="4"/>
  <c r="P56" i="4"/>
  <c r="A34" i="3"/>
  <c r="S16" i="12" l="1"/>
  <c r="S63" i="4"/>
  <c r="P50" i="4" l="1"/>
  <c r="P46" i="4"/>
  <c r="P45" i="4"/>
  <c r="P44" i="4"/>
  <c r="P40" i="4"/>
  <c r="P38" i="4"/>
  <c r="P37" i="4"/>
  <c r="P36" i="4"/>
  <c r="P35" i="4"/>
  <c r="P34" i="4"/>
  <c r="P33" i="4"/>
  <c r="P32" i="4"/>
  <c r="P31" i="4"/>
  <c r="P27" i="4"/>
  <c r="P25" i="4"/>
  <c r="P24" i="4"/>
  <c r="P23" i="4"/>
  <c r="P22" i="4"/>
  <c r="P21" i="4"/>
  <c r="P20" i="4"/>
  <c r="P19" i="4"/>
  <c r="P18" i="4"/>
  <c r="P14" i="4"/>
  <c r="P12" i="4"/>
  <c r="P11" i="4"/>
  <c r="P10" i="4"/>
  <c r="P9" i="4"/>
  <c r="P8" i="4"/>
  <c r="P7" i="4"/>
  <c r="P6" i="4"/>
  <c r="P5" i="4"/>
  <c r="K56" i="4"/>
  <c r="K50" i="4"/>
  <c r="K46" i="4"/>
  <c r="K45" i="4"/>
  <c r="K44" i="4"/>
  <c r="K40" i="4"/>
  <c r="K38" i="4"/>
  <c r="K37" i="4"/>
  <c r="K36" i="4"/>
  <c r="K35" i="4"/>
  <c r="K34" i="4"/>
  <c r="K33" i="4"/>
  <c r="K32" i="4"/>
  <c r="K31" i="4"/>
  <c r="K27" i="4"/>
  <c r="K25" i="4"/>
  <c r="K24" i="4"/>
  <c r="K23" i="4"/>
  <c r="K22" i="4"/>
  <c r="K21" i="4"/>
  <c r="K20" i="4"/>
  <c r="K19" i="4"/>
  <c r="K18" i="4"/>
  <c r="K14" i="4"/>
  <c r="K12" i="4"/>
  <c r="K11" i="4"/>
  <c r="K10" i="4"/>
  <c r="K9" i="4"/>
  <c r="K8" i="4"/>
  <c r="K7" i="4"/>
  <c r="K6" i="4"/>
  <c r="K5" i="4"/>
  <c r="K26" i="4" l="1"/>
  <c r="K28" i="4" s="1"/>
  <c r="K47" i="4"/>
  <c r="P47" i="4"/>
  <c r="K13" i="4"/>
  <c r="K15" i="4" s="1"/>
  <c r="P26" i="4"/>
  <c r="P28" i="4" s="1"/>
  <c r="P39" i="4"/>
  <c r="P41" i="4" s="1"/>
  <c r="P13" i="4"/>
  <c r="P15" i="4" s="1"/>
  <c r="K39" i="4"/>
  <c r="K41" i="4" s="1"/>
  <c r="F56" i="4"/>
  <c r="F50" i="4"/>
  <c r="F46" i="4"/>
  <c r="F44" i="4"/>
  <c r="F40" i="4"/>
  <c r="F38" i="4"/>
  <c r="F37" i="4"/>
  <c r="F36" i="4"/>
  <c r="F35" i="4"/>
  <c r="F34" i="4"/>
  <c r="F33" i="4"/>
  <c r="F32" i="4"/>
  <c r="F31" i="4"/>
  <c r="F27" i="4"/>
  <c r="C45" i="4"/>
  <c r="B43" i="3" l="1"/>
  <c r="F33" i="3"/>
  <c r="D34" i="3"/>
  <c r="B30" i="3"/>
  <c r="B34" i="3"/>
  <c r="B33" i="3"/>
  <c r="H33" i="3" s="1"/>
  <c r="H32" i="3"/>
  <c r="H34" i="3" l="1"/>
  <c r="F14" i="4"/>
  <c r="F25" i="4"/>
  <c r="F24" i="4"/>
  <c r="F23" i="4"/>
  <c r="F22" i="4"/>
  <c r="F21" i="4"/>
  <c r="F20" i="4"/>
  <c r="F19" i="4"/>
  <c r="F18" i="4"/>
  <c r="F12" i="4" l="1"/>
  <c r="F11" i="4"/>
  <c r="F10" i="4"/>
  <c r="F9" i="4"/>
  <c r="F8" i="4"/>
  <c r="F7" i="4"/>
  <c r="F6" i="4"/>
  <c r="F5" i="4"/>
  <c r="S104" i="4"/>
  <c r="S103" i="4"/>
  <c r="S102" i="4"/>
  <c r="S101" i="4"/>
  <c r="S99" i="4"/>
  <c r="S130" i="4"/>
  <c r="S129" i="4"/>
  <c r="S128" i="4"/>
  <c r="S127" i="4"/>
  <c r="S125" i="4"/>
  <c r="S145" i="4"/>
  <c r="S143" i="4"/>
  <c r="S146" i="6"/>
  <c r="R146" i="6"/>
  <c r="Q146" i="6"/>
  <c r="P146" i="6"/>
  <c r="O146" i="6"/>
  <c r="N146" i="6"/>
  <c r="M146" i="6"/>
  <c r="L146" i="6"/>
  <c r="K146" i="6"/>
  <c r="J146" i="6"/>
  <c r="I146" i="6"/>
  <c r="H146" i="6"/>
  <c r="G146" i="6"/>
  <c r="F146" i="6"/>
  <c r="E146" i="6"/>
  <c r="D146" i="6"/>
  <c r="C146" i="6"/>
  <c r="B146" i="6"/>
  <c r="J72" i="9" l="1"/>
  <c r="I72" i="9"/>
  <c r="H72" i="9"/>
  <c r="G72" i="9"/>
  <c r="D72" i="9"/>
  <c r="F72" i="9" s="1"/>
  <c r="S140" i="6"/>
  <c r="S130" i="6"/>
  <c r="S134" i="6" s="1"/>
  <c r="S141" i="6" s="1"/>
  <c r="S143" i="6" s="1"/>
  <c r="S147" i="6" s="1"/>
  <c r="S117" i="6"/>
  <c r="S107" i="6"/>
  <c r="S111" i="6" s="1"/>
  <c r="S94" i="6"/>
  <c r="S84" i="6"/>
  <c r="S79" i="6"/>
  <c r="S70" i="6"/>
  <c r="S60" i="6"/>
  <c r="S55" i="6"/>
  <c r="S46" i="6"/>
  <c r="S36" i="6"/>
  <c r="S31" i="6"/>
  <c r="S40" i="6" s="1"/>
  <c r="S22" i="6"/>
  <c r="S12" i="6"/>
  <c r="S7" i="6"/>
  <c r="K72" i="9" l="1"/>
  <c r="S47" i="6"/>
  <c r="S49" i="6" s="1"/>
  <c r="S50" i="6" s="1"/>
  <c r="S64" i="6"/>
  <c r="S71" i="6" s="1"/>
  <c r="S73" i="6" s="1"/>
  <c r="S74" i="6" s="1"/>
  <c r="S16" i="6"/>
  <c r="S23" i="6" s="1"/>
  <c r="S25" i="6" s="1"/>
  <c r="S26" i="6" s="1"/>
  <c r="S118" i="6"/>
  <c r="S120" i="6" s="1"/>
  <c r="S121" i="6" s="1"/>
  <c r="S144" i="6"/>
  <c r="S88" i="6"/>
  <c r="S95" i="6" s="1"/>
  <c r="S97" i="6" s="1"/>
  <c r="S98" i="6" s="1"/>
  <c r="R79" i="4"/>
  <c r="S154" i="4"/>
  <c r="S150" i="4" s="1"/>
  <c r="S153" i="4"/>
  <c r="S149" i="4" s="1"/>
  <c r="S45" i="4"/>
  <c r="S144" i="4" s="1"/>
  <c r="S47" i="4" l="1"/>
  <c r="S32" i="4"/>
  <c r="S126" i="4" s="1"/>
  <c r="S24" i="4"/>
  <c r="S105" i="4" s="1"/>
  <c r="S19" i="4"/>
  <c r="S100" i="4" s="1"/>
  <c r="S11" i="4"/>
  <c r="S6" i="4"/>
  <c r="S12" i="4" s="1"/>
  <c r="S13" i="4" s="1"/>
  <c r="S38" i="4" l="1"/>
  <c r="S131" i="4" s="1"/>
  <c r="S14" i="4"/>
  <c r="S15" i="4"/>
  <c r="S25" i="4"/>
  <c r="S28" i="12"/>
  <c r="S23" i="12"/>
  <c r="S13" i="12"/>
  <c r="S112" i="9"/>
  <c r="S102" i="9"/>
  <c r="S137" i="9" s="1"/>
  <c r="S99" i="9"/>
  <c r="S135" i="9" s="1"/>
  <c r="S97" i="9"/>
  <c r="S107" i="9" s="1"/>
  <c r="S96" i="9"/>
  <c r="S105" i="9" s="1"/>
  <c r="S95" i="9"/>
  <c r="S94" i="9"/>
  <c r="S90" i="9"/>
  <c r="S87" i="9"/>
  <c r="S86" i="9"/>
  <c r="S85" i="9"/>
  <c r="U85" i="9" s="1"/>
  <c r="S82" i="9"/>
  <c r="S81" i="9"/>
  <c r="S83" i="9" s="1"/>
  <c r="S76" i="9"/>
  <c r="S73" i="9"/>
  <c r="S71" i="9"/>
  <c r="S51" i="9"/>
  <c r="S55" i="9" s="1"/>
  <c r="S62" i="9" s="1"/>
  <c r="S128" i="9" s="1"/>
  <c r="S129" i="9"/>
  <c r="S127" i="9"/>
  <c r="S121" i="9"/>
  <c r="S119" i="9"/>
  <c r="S36" i="9"/>
  <c r="U36" i="9" s="1"/>
  <c r="S35" i="9"/>
  <c r="S34" i="9"/>
  <c r="U10" i="17" s="1"/>
  <c r="S33" i="9"/>
  <c r="S31" i="9"/>
  <c r="S8" i="9"/>
  <c r="S109" i="9" l="1"/>
  <c r="U109" i="9" s="1"/>
  <c r="U87" i="9"/>
  <c r="U88" i="9" s="1"/>
  <c r="S88" i="9"/>
  <c r="S92" i="9" s="1"/>
  <c r="U92" i="9" s="1"/>
  <c r="S30" i="12"/>
  <c r="S108" i="9"/>
  <c r="S39" i="4"/>
  <c r="S65" i="9"/>
  <c r="S67" i="9" s="1"/>
  <c r="S74" i="9" s="1"/>
  <c r="S64" i="9"/>
  <c r="S40" i="4"/>
  <c r="S41" i="4" s="1"/>
  <c r="S106" i="4"/>
  <c r="S26" i="4"/>
  <c r="S28" i="4" s="1"/>
  <c r="S130" i="9"/>
  <c r="S131" i="9" s="1"/>
  <c r="S17" i="9"/>
  <c r="S24" i="9" s="1"/>
  <c r="S120" i="9" s="1"/>
  <c r="S122" i="9" s="1"/>
  <c r="S123" i="9" s="1"/>
  <c r="S98" i="9" l="1"/>
  <c r="S27" i="9"/>
  <c r="S29" i="9" s="1"/>
  <c r="S77" i="9"/>
  <c r="S26" i="9"/>
  <c r="S101" i="9"/>
  <c r="A1" i="14"/>
  <c r="B1" i="14"/>
  <c r="C1" i="14"/>
  <c r="D1" i="14"/>
  <c r="E1" i="14"/>
  <c r="F1" i="14"/>
  <c r="G1" i="14"/>
  <c r="H1" i="14"/>
  <c r="I1" i="14"/>
  <c r="J1" i="14"/>
  <c r="K1" i="14"/>
  <c r="L1" i="14"/>
  <c r="M1" i="14"/>
  <c r="M16" i="14"/>
  <c r="M17" i="14"/>
  <c r="C18" i="14"/>
  <c r="E18" i="14"/>
  <c r="G18" i="14"/>
  <c r="I18" i="14"/>
  <c r="K18" i="14"/>
  <c r="M21" i="14"/>
  <c r="M22" i="14"/>
  <c r="M23" i="14"/>
  <c r="C24" i="14"/>
  <c r="E24" i="14"/>
  <c r="G24" i="14"/>
  <c r="I24" i="14"/>
  <c r="K24" i="14"/>
  <c r="K28" i="14" s="1"/>
  <c r="M26" i="14"/>
  <c r="M30" i="14"/>
  <c r="M31" i="14"/>
  <c r="M32" i="14"/>
  <c r="M38" i="14"/>
  <c r="S103" i="9" l="1"/>
  <c r="U101" i="9"/>
  <c r="U103" i="9" s="1"/>
  <c r="S136" i="9"/>
  <c r="S138" i="9" s="1"/>
  <c r="S139" i="9" s="1"/>
  <c r="U98" i="9"/>
  <c r="S100" i="9"/>
  <c r="G28" i="14"/>
  <c r="G35" i="14" s="1"/>
  <c r="G40" i="14" s="1"/>
  <c r="S37" i="9"/>
  <c r="U14" i="17" s="1"/>
  <c r="U4" i="17"/>
  <c r="S40" i="9"/>
  <c r="K35" i="14"/>
  <c r="K40" i="14" s="1"/>
  <c r="I28" i="14"/>
  <c r="I35" i="14" s="1"/>
  <c r="I40" i="14" s="1"/>
  <c r="M33" i="14"/>
  <c r="M24" i="14"/>
  <c r="E28" i="14"/>
  <c r="E35" i="14" s="1"/>
  <c r="E40" i="14" s="1"/>
  <c r="C28" i="14"/>
  <c r="C35" i="14" s="1"/>
  <c r="C40" i="14" s="1"/>
  <c r="M18" i="14"/>
  <c r="M2" i="14"/>
  <c r="F13" i="3"/>
  <c r="F17" i="3" s="1"/>
  <c r="F23" i="3" s="1"/>
  <c r="F26" i="3" s="1"/>
  <c r="F28" i="3" s="1"/>
  <c r="F35" i="3" s="1"/>
  <c r="E13" i="3"/>
  <c r="E17" i="3" s="1"/>
  <c r="E23" i="3" s="1"/>
  <c r="E26" i="3" s="1"/>
  <c r="E28" i="3" s="1"/>
  <c r="E35" i="3" s="1"/>
  <c r="D13" i="3"/>
  <c r="D17" i="3" s="1"/>
  <c r="D23" i="3" s="1"/>
  <c r="D26" i="3" s="1"/>
  <c r="D28" i="3" s="1"/>
  <c r="D35" i="3" s="1"/>
  <c r="H37" i="3"/>
  <c r="U100" i="9" l="1"/>
  <c r="U136" i="9"/>
  <c r="U138" i="9" s="1"/>
  <c r="U139" i="9" s="1"/>
  <c r="U110" i="9"/>
  <c r="W22" i="17" s="1"/>
  <c r="U113" i="9"/>
  <c r="S110" i="9"/>
  <c r="U22" i="17" s="1"/>
  <c r="S113" i="9"/>
  <c r="M28" i="14"/>
  <c r="M35" i="14" s="1"/>
  <c r="M40" i="14" s="1"/>
  <c r="B45" i="3"/>
  <c r="H10" i="17" l="1"/>
  <c r="R137" i="9"/>
  <c r="Q137" i="9"/>
  <c r="R135" i="9"/>
  <c r="Q135" i="9"/>
  <c r="P137" i="9"/>
  <c r="O137" i="9"/>
  <c r="N137" i="9"/>
  <c r="M137" i="9"/>
  <c r="L137" i="9"/>
  <c r="P135" i="9"/>
  <c r="O135" i="9"/>
  <c r="N135" i="9"/>
  <c r="M135" i="9"/>
  <c r="L135" i="9"/>
  <c r="K137" i="9"/>
  <c r="J137" i="9"/>
  <c r="I137" i="9"/>
  <c r="H137" i="9"/>
  <c r="G137" i="9"/>
  <c r="K135" i="9"/>
  <c r="J135" i="9"/>
  <c r="I135" i="9"/>
  <c r="H135" i="9"/>
  <c r="G135" i="9"/>
  <c r="F137" i="9"/>
  <c r="F135" i="9"/>
  <c r="E137" i="9"/>
  <c r="D137" i="9"/>
  <c r="C137" i="9"/>
  <c r="E135" i="9"/>
  <c r="D135" i="9"/>
  <c r="C135" i="9"/>
  <c r="B137" i="9"/>
  <c r="B135" i="9"/>
  <c r="R121" i="9"/>
  <c r="Q121" i="9"/>
  <c r="R119" i="9"/>
  <c r="Q119" i="9"/>
  <c r="P121" i="9"/>
  <c r="O121" i="9"/>
  <c r="N121" i="9"/>
  <c r="M121" i="9"/>
  <c r="L121" i="9"/>
  <c r="P119" i="9"/>
  <c r="O119" i="9"/>
  <c r="N119" i="9"/>
  <c r="M119" i="9"/>
  <c r="L119" i="9"/>
  <c r="K121" i="9"/>
  <c r="J121" i="9"/>
  <c r="I121" i="9"/>
  <c r="H121" i="9"/>
  <c r="G121" i="9"/>
  <c r="K119" i="9"/>
  <c r="J119" i="9"/>
  <c r="I119" i="9"/>
  <c r="H119" i="9"/>
  <c r="G119" i="9"/>
  <c r="F121" i="9"/>
  <c r="F119" i="9"/>
  <c r="E121" i="9"/>
  <c r="D121" i="9"/>
  <c r="C121" i="9"/>
  <c r="E119" i="9"/>
  <c r="D119" i="9"/>
  <c r="C119" i="9"/>
  <c r="B121" i="9"/>
  <c r="B119" i="9"/>
  <c r="B45" i="4"/>
  <c r="D45" i="4"/>
  <c r="B28" i="12"/>
  <c r="B22" i="12"/>
  <c r="B23" i="12" s="1"/>
  <c r="B12" i="12"/>
  <c r="B13" i="12" s="1"/>
  <c r="C28" i="12"/>
  <c r="C22" i="12"/>
  <c r="C23" i="12" s="1"/>
  <c r="C30" i="12" s="1"/>
  <c r="C12" i="12"/>
  <c r="C13" i="12" s="1"/>
  <c r="D28" i="12"/>
  <c r="D22" i="12"/>
  <c r="D23" i="12" s="1"/>
  <c r="D12" i="12"/>
  <c r="D13" i="12" s="1"/>
  <c r="G12" i="12"/>
  <c r="G22" i="12"/>
  <c r="H22" i="12"/>
  <c r="H12" i="12"/>
  <c r="E28" i="12"/>
  <c r="E22" i="12"/>
  <c r="E23" i="12" s="1"/>
  <c r="E12" i="12"/>
  <c r="E13" i="12" s="1"/>
  <c r="F22" i="12"/>
  <c r="F12" i="12"/>
  <c r="I22" i="12"/>
  <c r="I12" i="12"/>
  <c r="L22" i="12"/>
  <c r="L12" i="12"/>
  <c r="M22" i="12"/>
  <c r="M12" i="12"/>
  <c r="J22" i="12"/>
  <c r="J12" i="12"/>
  <c r="N22" i="12"/>
  <c r="N12" i="12"/>
  <c r="Q22" i="12"/>
  <c r="P18" i="12"/>
  <c r="Q12" i="12"/>
  <c r="B30" i="12" l="1"/>
  <c r="D30" i="12"/>
  <c r="F45" i="4"/>
  <c r="E30" i="12"/>
  <c r="O12" i="12"/>
  <c r="O13" i="12" s="1"/>
  <c r="O28" i="12"/>
  <c r="O20" i="12"/>
  <c r="O22" i="12" s="1"/>
  <c r="O23" i="12" l="1"/>
  <c r="O30" i="12" s="1"/>
  <c r="R12" i="12" l="1"/>
  <c r="R28" i="12"/>
  <c r="Q28" i="12"/>
  <c r="N28" i="12"/>
  <c r="M28" i="12"/>
  <c r="L28" i="12"/>
  <c r="J28" i="12"/>
  <c r="I28" i="12"/>
  <c r="H28" i="12"/>
  <c r="G28" i="12"/>
  <c r="P27" i="12"/>
  <c r="K27" i="12"/>
  <c r="P26" i="12"/>
  <c r="K26" i="12"/>
  <c r="F28" i="12"/>
  <c r="Q23" i="12"/>
  <c r="N23" i="12"/>
  <c r="L23" i="12"/>
  <c r="J23" i="12"/>
  <c r="I23" i="12"/>
  <c r="H23" i="12"/>
  <c r="G23" i="12"/>
  <c r="P22" i="12"/>
  <c r="K22" i="12"/>
  <c r="P21" i="12"/>
  <c r="K21" i="12"/>
  <c r="R20" i="12"/>
  <c r="R22" i="12" s="1"/>
  <c r="P20" i="12"/>
  <c r="M23" i="12"/>
  <c r="K20" i="12"/>
  <c r="P19" i="12"/>
  <c r="K19" i="12"/>
  <c r="P17" i="12"/>
  <c r="K17" i="12"/>
  <c r="P16" i="12"/>
  <c r="K16" i="12"/>
  <c r="Q13" i="12"/>
  <c r="N13" i="12"/>
  <c r="M13" i="12"/>
  <c r="L13" i="12"/>
  <c r="J13" i="12"/>
  <c r="I13" i="12"/>
  <c r="H13" i="12"/>
  <c r="G13" i="12"/>
  <c r="P12" i="12"/>
  <c r="K12" i="12"/>
  <c r="P11" i="12"/>
  <c r="K11" i="12"/>
  <c r="P10" i="12"/>
  <c r="K10" i="12"/>
  <c r="P9" i="12"/>
  <c r="K9" i="12"/>
  <c r="P8" i="12"/>
  <c r="K8" i="12"/>
  <c r="P7" i="12"/>
  <c r="K7" i="12"/>
  <c r="P6" i="12"/>
  <c r="K6" i="12"/>
  <c r="P5" i="12"/>
  <c r="K5" i="12"/>
  <c r="Q9" i="11"/>
  <c r="L9" i="11"/>
  <c r="G9" i="11"/>
  <c r="Q5" i="11"/>
  <c r="L5" i="11"/>
  <c r="G5" i="11"/>
  <c r="Q4" i="11"/>
  <c r="L4" i="11"/>
  <c r="G4" i="11"/>
  <c r="A72" i="9"/>
  <c r="R9" i="6"/>
  <c r="Q9" i="6"/>
  <c r="P9" i="6"/>
  <c r="O9" i="6"/>
  <c r="N9" i="6"/>
  <c r="M9" i="6"/>
  <c r="L9" i="6"/>
  <c r="K9" i="6"/>
  <c r="J9" i="6"/>
  <c r="I9" i="6"/>
  <c r="H9" i="6"/>
  <c r="G9" i="6"/>
  <c r="F9" i="6"/>
  <c r="E9" i="6"/>
  <c r="D9" i="6"/>
  <c r="C9" i="6"/>
  <c r="B9" i="6"/>
  <c r="N30" i="12" l="1"/>
  <c r="P28" i="12"/>
  <c r="G30" i="12"/>
  <c r="R23" i="12"/>
  <c r="R30" i="12" s="1"/>
  <c r="H30" i="12"/>
  <c r="I30" i="12"/>
  <c r="L30" i="12"/>
  <c r="K28" i="12"/>
  <c r="J30" i="12"/>
  <c r="K23" i="12"/>
  <c r="K13" i="12"/>
  <c r="P23" i="12"/>
  <c r="F13" i="12"/>
  <c r="F23" i="12"/>
  <c r="F30" i="12" s="1"/>
  <c r="Q30" i="12"/>
  <c r="P13" i="12"/>
  <c r="M30" i="12"/>
  <c r="F110" i="6"/>
  <c r="F111" i="6"/>
  <c r="G102" i="4"/>
  <c r="H102" i="4"/>
  <c r="I102" i="4"/>
  <c r="J102" i="4"/>
  <c r="K102" i="4"/>
  <c r="L102" i="4"/>
  <c r="M102" i="4"/>
  <c r="N102" i="4"/>
  <c r="O102" i="4"/>
  <c r="P102" i="4"/>
  <c r="Q102" i="4"/>
  <c r="R102" i="4"/>
  <c r="G76" i="4"/>
  <c r="G63" i="4" s="1"/>
  <c r="H76" i="4"/>
  <c r="H63" i="4" s="1"/>
  <c r="I76" i="4"/>
  <c r="I63" i="4" s="1"/>
  <c r="J76" i="4"/>
  <c r="J63" i="4" s="1"/>
  <c r="K76" i="4"/>
  <c r="K63" i="4" s="1"/>
  <c r="L76" i="4"/>
  <c r="L63" i="4" s="1"/>
  <c r="M76" i="4"/>
  <c r="M63" i="4" s="1"/>
  <c r="N76" i="4"/>
  <c r="N63" i="4" s="1"/>
  <c r="O76" i="4"/>
  <c r="O63" i="4" s="1"/>
  <c r="P76" i="4"/>
  <c r="P63" i="4" s="1"/>
  <c r="Q76" i="4"/>
  <c r="Q63" i="4" s="1"/>
  <c r="R76" i="4"/>
  <c r="R63" i="4" s="1"/>
  <c r="G75" i="4"/>
  <c r="K30" i="12" l="1"/>
  <c r="P30" i="12"/>
  <c r="P109" i="6"/>
  <c r="K109" i="6"/>
  <c r="F109" i="6"/>
  <c r="P86" i="6"/>
  <c r="K86" i="6"/>
  <c r="F86" i="6"/>
  <c r="P62" i="6"/>
  <c r="K62" i="6"/>
  <c r="F62" i="6"/>
  <c r="J40" i="6"/>
  <c r="I40" i="6"/>
  <c r="H40" i="6"/>
  <c r="G40" i="6"/>
  <c r="E40" i="6"/>
  <c r="D40" i="6"/>
  <c r="C40" i="6"/>
  <c r="B40" i="6"/>
  <c r="M40" i="6"/>
  <c r="N40" i="6"/>
  <c r="O40" i="6"/>
  <c r="L40" i="6"/>
  <c r="Q40" i="6"/>
  <c r="R40" i="6"/>
  <c r="P38" i="6"/>
  <c r="K38" i="6"/>
  <c r="F38" i="6"/>
  <c r="H24" i="3"/>
  <c r="H43" i="3" s="1"/>
  <c r="P40" i="6" l="1"/>
  <c r="P16" i="6" s="1"/>
  <c r="F40" i="6"/>
  <c r="F47" i="6" s="1"/>
  <c r="F49" i="6" s="1"/>
  <c r="F50" i="6" s="1"/>
  <c r="K40" i="6"/>
  <c r="K16" i="6" s="1"/>
  <c r="R24" i="6"/>
  <c r="Q24" i="6"/>
  <c r="R22" i="6"/>
  <c r="Q22" i="6"/>
  <c r="R20" i="6"/>
  <c r="Q20" i="6"/>
  <c r="R19" i="6"/>
  <c r="Q19" i="6"/>
  <c r="R18" i="6"/>
  <c r="Q18" i="6"/>
  <c r="R16" i="6"/>
  <c r="Q16" i="6"/>
  <c r="R14" i="6"/>
  <c r="Q14" i="6"/>
  <c r="R12" i="6"/>
  <c r="Q12" i="6"/>
  <c r="R11" i="6"/>
  <c r="Q11" i="6"/>
  <c r="R10" i="6"/>
  <c r="Q10" i="6"/>
  <c r="R7" i="6"/>
  <c r="Q7" i="6"/>
  <c r="R6" i="6"/>
  <c r="Q6" i="6"/>
  <c r="R5" i="6"/>
  <c r="Q5" i="6"/>
  <c r="P24" i="6"/>
  <c r="O24" i="6"/>
  <c r="N24" i="6"/>
  <c r="M24" i="6"/>
  <c r="L24" i="6"/>
  <c r="P22" i="6"/>
  <c r="O22" i="6"/>
  <c r="N22" i="6"/>
  <c r="M22" i="6"/>
  <c r="L22" i="6"/>
  <c r="P20" i="6"/>
  <c r="O20" i="6"/>
  <c r="N20" i="6"/>
  <c r="M20" i="6"/>
  <c r="L20" i="6"/>
  <c r="P19" i="6"/>
  <c r="O19" i="6"/>
  <c r="N19" i="6"/>
  <c r="M19" i="6"/>
  <c r="L19" i="6"/>
  <c r="P18" i="6"/>
  <c r="O18" i="6"/>
  <c r="N18" i="6"/>
  <c r="M18" i="6"/>
  <c r="L18" i="6"/>
  <c r="O16" i="6"/>
  <c r="N16" i="6"/>
  <c r="M16" i="6"/>
  <c r="L16" i="6"/>
  <c r="P14" i="6"/>
  <c r="O14" i="6"/>
  <c r="N14" i="6"/>
  <c r="M14" i="6"/>
  <c r="L14" i="6"/>
  <c r="P12" i="6"/>
  <c r="O12" i="6"/>
  <c r="N12" i="6"/>
  <c r="M12" i="6"/>
  <c r="L12" i="6"/>
  <c r="P11" i="6"/>
  <c r="O11" i="6"/>
  <c r="N11" i="6"/>
  <c r="M11" i="6"/>
  <c r="L11" i="6"/>
  <c r="P10" i="6"/>
  <c r="O10" i="6"/>
  <c r="N10" i="6"/>
  <c r="M10" i="6"/>
  <c r="L10" i="6"/>
  <c r="P7" i="6"/>
  <c r="O7" i="6"/>
  <c r="N7" i="6"/>
  <c r="M7" i="6"/>
  <c r="L7" i="6"/>
  <c r="P6" i="6"/>
  <c r="O6" i="6"/>
  <c r="N6" i="6"/>
  <c r="M6" i="6"/>
  <c r="L6" i="6"/>
  <c r="O5" i="6"/>
  <c r="N5" i="6"/>
  <c r="M5" i="6"/>
  <c r="L5" i="6"/>
  <c r="K24" i="6"/>
  <c r="J24" i="6"/>
  <c r="I24" i="6"/>
  <c r="H24" i="6"/>
  <c r="G24" i="6"/>
  <c r="K22" i="6"/>
  <c r="J22" i="6"/>
  <c r="I22" i="6"/>
  <c r="H22" i="6"/>
  <c r="G22" i="6"/>
  <c r="K20" i="6"/>
  <c r="J20" i="6"/>
  <c r="I20" i="6"/>
  <c r="H20" i="6"/>
  <c r="G20" i="6"/>
  <c r="K19" i="6"/>
  <c r="J19" i="6"/>
  <c r="I19" i="6"/>
  <c r="H19" i="6"/>
  <c r="G19" i="6"/>
  <c r="K18" i="6"/>
  <c r="J18" i="6"/>
  <c r="I18" i="6"/>
  <c r="H18" i="6"/>
  <c r="G18" i="6"/>
  <c r="J16" i="6"/>
  <c r="I16" i="6"/>
  <c r="H16" i="6"/>
  <c r="G16" i="6"/>
  <c r="K14" i="6"/>
  <c r="J14" i="6"/>
  <c r="I14" i="6"/>
  <c r="H14" i="6"/>
  <c r="G14" i="6"/>
  <c r="K12" i="6"/>
  <c r="J12" i="6"/>
  <c r="I12" i="6"/>
  <c r="H12" i="6"/>
  <c r="G12" i="6"/>
  <c r="K11" i="6"/>
  <c r="J11" i="6"/>
  <c r="I11" i="6"/>
  <c r="H11" i="6"/>
  <c r="G11" i="6"/>
  <c r="K10" i="6"/>
  <c r="J10" i="6"/>
  <c r="I10" i="6"/>
  <c r="H10" i="6"/>
  <c r="G10" i="6"/>
  <c r="K7" i="6"/>
  <c r="J7" i="6"/>
  <c r="I7" i="6"/>
  <c r="H7" i="6"/>
  <c r="G7" i="6"/>
  <c r="K6" i="6"/>
  <c r="J6" i="6"/>
  <c r="I6" i="6"/>
  <c r="H6" i="6"/>
  <c r="G6" i="6"/>
  <c r="K5" i="6"/>
  <c r="J5" i="6"/>
  <c r="I5" i="6"/>
  <c r="H5" i="6"/>
  <c r="G5" i="6"/>
  <c r="F24" i="6"/>
  <c r="E24" i="6"/>
  <c r="D24" i="6"/>
  <c r="C24" i="6"/>
  <c r="B24" i="6"/>
  <c r="F22" i="6"/>
  <c r="E22" i="6"/>
  <c r="D22" i="6"/>
  <c r="C22" i="6"/>
  <c r="B22" i="6"/>
  <c r="F20" i="6"/>
  <c r="E20" i="6"/>
  <c r="D20" i="6"/>
  <c r="C20" i="6"/>
  <c r="B20" i="6"/>
  <c r="F19" i="6"/>
  <c r="E19" i="6"/>
  <c r="D19" i="6"/>
  <c r="C19" i="6"/>
  <c r="B19" i="6"/>
  <c r="F18" i="6"/>
  <c r="E18" i="6"/>
  <c r="D18" i="6"/>
  <c r="C18" i="6"/>
  <c r="B18" i="6"/>
  <c r="E16" i="6"/>
  <c r="D16" i="6"/>
  <c r="C16" i="6"/>
  <c r="B16" i="6"/>
  <c r="F14" i="6"/>
  <c r="E14" i="6"/>
  <c r="D14" i="6"/>
  <c r="C14" i="6"/>
  <c r="B14" i="6"/>
  <c r="F12" i="6"/>
  <c r="E12" i="6"/>
  <c r="D12" i="6"/>
  <c r="C12" i="6"/>
  <c r="B12" i="6"/>
  <c r="F11" i="6"/>
  <c r="E11" i="6"/>
  <c r="D11" i="6"/>
  <c r="C11" i="6"/>
  <c r="B11" i="6"/>
  <c r="F10" i="6"/>
  <c r="E10" i="6"/>
  <c r="D10" i="6"/>
  <c r="C10" i="6"/>
  <c r="B10" i="6"/>
  <c r="F7" i="6"/>
  <c r="E7" i="6"/>
  <c r="D7" i="6"/>
  <c r="C7" i="6"/>
  <c r="B7" i="6"/>
  <c r="F6" i="6"/>
  <c r="E6" i="6"/>
  <c r="D6" i="6"/>
  <c r="C6" i="6"/>
  <c r="B6" i="6"/>
  <c r="C5" i="6"/>
  <c r="D5" i="6"/>
  <c r="E5" i="6"/>
  <c r="F5" i="6"/>
  <c r="B5" i="6"/>
  <c r="R141" i="6"/>
  <c r="R143" i="6" s="1"/>
  <c r="R147" i="6" s="1"/>
  <c r="Q141" i="6"/>
  <c r="Q143" i="6" s="1"/>
  <c r="Q147" i="6" s="1"/>
  <c r="P141" i="6"/>
  <c r="P143" i="6" s="1"/>
  <c r="P147" i="6" s="1"/>
  <c r="O141" i="6"/>
  <c r="O143" i="6" s="1"/>
  <c r="O147" i="6" s="1"/>
  <c r="N141" i="6"/>
  <c r="N143" i="6" s="1"/>
  <c r="N147" i="6" s="1"/>
  <c r="M141" i="6"/>
  <c r="M143" i="6" s="1"/>
  <c r="M147" i="6" s="1"/>
  <c r="L141" i="6"/>
  <c r="L143" i="6" s="1"/>
  <c r="L147" i="6" s="1"/>
  <c r="K141" i="6"/>
  <c r="K143" i="6" s="1"/>
  <c r="K147" i="6" s="1"/>
  <c r="J141" i="6"/>
  <c r="J143" i="6" s="1"/>
  <c r="J147" i="6" s="1"/>
  <c r="I141" i="6"/>
  <c r="I143" i="6" s="1"/>
  <c r="H141" i="6"/>
  <c r="H143" i="6" s="1"/>
  <c r="H147" i="6" s="1"/>
  <c r="G141" i="6"/>
  <c r="G143" i="6" s="1"/>
  <c r="G147" i="6" s="1"/>
  <c r="F141" i="6"/>
  <c r="F143" i="6" s="1"/>
  <c r="E141" i="6"/>
  <c r="E143" i="6" s="1"/>
  <c r="E147" i="6" s="1"/>
  <c r="D141" i="6"/>
  <c r="D143" i="6" s="1"/>
  <c r="D147" i="6" s="1"/>
  <c r="C141" i="6"/>
  <c r="C143" i="6" s="1"/>
  <c r="C147" i="6" s="1"/>
  <c r="B141" i="6"/>
  <c r="B143" i="6" s="1"/>
  <c r="R118" i="6"/>
  <c r="R120" i="6" s="1"/>
  <c r="R121" i="6" s="1"/>
  <c r="Q118" i="6"/>
  <c r="Q120" i="6" s="1"/>
  <c r="Q121" i="6" s="1"/>
  <c r="P118" i="6"/>
  <c r="P120" i="6" s="1"/>
  <c r="P121" i="6" s="1"/>
  <c r="O118" i="6"/>
  <c r="O120" i="6" s="1"/>
  <c r="O121" i="6" s="1"/>
  <c r="N118" i="6"/>
  <c r="N120" i="6" s="1"/>
  <c r="N121" i="6" s="1"/>
  <c r="M118" i="6"/>
  <c r="M120" i="6" s="1"/>
  <c r="M121" i="6" s="1"/>
  <c r="L118" i="6"/>
  <c r="L120" i="6" s="1"/>
  <c r="L121" i="6" s="1"/>
  <c r="K118" i="6"/>
  <c r="K120" i="6" s="1"/>
  <c r="K121" i="6" s="1"/>
  <c r="J118" i="6"/>
  <c r="J120" i="6" s="1"/>
  <c r="J121" i="6" s="1"/>
  <c r="I118" i="6"/>
  <c r="I120" i="6" s="1"/>
  <c r="I121" i="6" s="1"/>
  <c r="H118" i="6"/>
  <c r="H120" i="6" s="1"/>
  <c r="H121" i="6" s="1"/>
  <c r="G118" i="6"/>
  <c r="G120" i="6" s="1"/>
  <c r="G121" i="6" s="1"/>
  <c r="F118" i="6"/>
  <c r="F120" i="6" s="1"/>
  <c r="F121" i="6" s="1"/>
  <c r="E118" i="6"/>
  <c r="E120" i="6" s="1"/>
  <c r="E121" i="6" s="1"/>
  <c r="D118" i="6"/>
  <c r="D120" i="6" s="1"/>
  <c r="D121" i="6" s="1"/>
  <c r="C118" i="6"/>
  <c r="C120" i="6" s="1"/>
  <c r="C121" i="6" s="1"/>
  <c r="B118" i="6"/>
  <c r="B120" i="6" s="1"/>
  <c r="B121" i="6" s="1"/>
  <c r="R95" i="6"/>
  <c r="R97" i="6" s="1"/>
  <c r="R98" i="6" s="1"/>
  <c r="Q95" i="6"/>
  <c r="Q97" i="6" s="1"/>
  <c r="Q98" i="6" s="1"/>
  <c r="P95" i="6"/>
  <c r="P97" i="6" s="1"/>
  <c r="P98" i="6" s="1"/>
  <c r="O95" i="6"/>
  <c r="N95" i="6"/>
  <c r="N97" i="6" s="1"/>
  <c r="N98" i="6" s="1"/>
  <c r="M95" i="6"/>
  <c r="M97" i="6" s="1"/>
  <c r="M98" i="6" s="1"/>
  <c r="L95" i="6"/>
  <c r="L97" i="6" s="1"/>
  <c r="L98" i="6" s="1"/>
  <c r="K95" i="6"/>
  <c r="K97" i="6" s="1"/>
  <c r="K98" i="6" s="1"/>
  <c r="J95" i="6"/>
  <c r="J97" i="6" s="1"/>
  <c r="J98" i="6" s="1"/>
  <c r="I95" i="6"/>
  <c r="I97" i="6" s="1"/>
  <c r="I98" i="6" s="1"/>
  <c r="H95" i="6"/>
  <c r="H97" i="6" s="1"/>
  <c r="H98" i="6" s="1"/>
  <c r="G95" i="6"/>
  <c r="G97" i="6" s="1"/>
  <c r="G98" i="6" s="1"/>
  <c r="F95" i="6"/>
  <c r="F97" i="6" s="1"/>
  <c r="F98" i="6" s="1"/>
  <c r="E95" i="6"/>
  <c r="E97" i="6" s="1"/>
  <c r="E98" i="6" s="1"/>
  <c r="D95" i="6"/>
  <c r="D97" i="6" s="1"/>
  <c r="D98" i="6" s="1"/>
  <c r="C95" i="6"/>
  <c r="C97" i="6" s="1"/>
  <c r="C98" i="6" s="1"/>
  <c r="B95" i="6"/>
  <c r="B97" i="6" s="1"/>
  <c r="B98" i="6" s="1"/>
  <c r="R71" i="6"/>
  <c r="Q71" i="6"/>
  <c r="P71" i="6"/>
  <c r="O71" i="6"/>
  <c r="O73" i="6" s="1"/>
  <c r="N71" i="6"/>
  <c r="M71" i="6"/>
  <c r="M73" i="6" s="1"/>
  <c r="L71" i="6"/>
  <c r="K71" i="6"/>
  <c r="K73" i="6" s="1"/>
  <c r="J71" i="6"/>
  <c r="J73" i="6" s="1"/>
  <c r="I71" i="6"/>
  <c r="H71" i="6"/>
  <c r="G71" i="6"/>
  <c r="G73" i="6" s="1"/>
  <c r="F71" i="6"/>
  <c r="F73" i="6" s="1"/>
  <c r="E71" i="6"/>
  <c r="D71" i="6"/>
  <c r="C71" i="6"/>
  <c r="C73" i="6" s="1"/>
  <c r="B71" i="6"/>
  <c r="B73" i="6" s="1"/>
  <c r="R47" i="6"/>
  <c r="R49" i="6" s="1"/>
  <c r="R50" i="6" s="1"/>
  <c r="Q47" i="6"/>
  <c r="Q49" i="6" s="1"/>
  <c r="Q50" i="6" s="1"/>
  <c r="O47" i="6"/>
  <c r="O49" i="6" s="1"/>
  <c r="O50" i="6" s="1"/>
  <c r="N47" i="6"/>
  <c r="N49" i="6" s="1"/>
  <c r="N50" i="6" s="1"/>
  <c r="M47" i="6"/>
  <c r="M49" i="6" s="1"/>
  <c r="M50" i="6" s="1"/>
  <c r="L47" i="6"/>
  <c r="L49" i="6" s="1"/>
  <c r="L50" i="6" s="1"/>
  <c r="J47" i="6"/>
  <c r="J49" i="6" s="1"/>
  <c r="J50" i="6" s="1"/>
  <c r="I47" i="6"/>
  <c r="I49" i="6" s="1"/>
  <c r="I50" i="6" s="1"/>
  <c r="H47" i="6"/>
  <c r="H49" i="6" s="1"/>
  <c r="H50" i="6" s="1"/>
  <c r="G47" i="6"/>
  <c r="G49" i="6" s="1"/>
  <c r="G50" i="6" s="1"/>
  <c r="E47" i="6"/>
  <c r="E49" i="6" s="1"/>
  <c r="E50" i="6" s="1"/>
  <c r="D47" i="6"/>
  <c r="D49" i="6" s="1"/>
  <c r="D50" i="6" s="1"/>
  <c r="C47" i="6"/>
  <c r="C49" i="6" s="1"/>
  <c r="C50" i="6" s="1"/>
  <c r="B47" i="6"/>
  <c r="B49" i="6" s="1"/>
  <c r="B50" i="6" s="1"/>
  <c r="R73" i="9"/>
  <c r="R71" i="9"/>
  <c r="R69" i="9"/>
  <c r="R66" i="9"/>
  <c r="R129" i="9" s="1"/>
  <c r="R63" i="9"/>
  <c r="R127" i="9" s="1"/>
  <c r="R59" i="9"/>
  <c r="R58" i="9"/>
  <c r="R57" i="9"/>
  <c r="R56" i="9"/>
  <c r="R53" i="9"/>
  <c r="R50" i="9"/>
  <c r="R49" i="9"/>
  <c r="R48" i="9"/>
  <c r="R47" i="9"/>
  <c r="R47" i="4"/>
  <c r="Q47" i="4"/>
  <c r="O47" i="4"/>
  <c r="N47" i="4"/>
  <c r="S146" i="4" s="1"/>
  <c r="M47" i="4"/>
  <c r="L47" i="4"/>
  <c r="J47" i="4"/>
  <c r="I47" i="4"/>
  <c r="H47" i="4"/>
  <c r="G47" i="4"/>
  <c r="C47" i="4"/>
  <c r="D47" i="4"/>
  <c r="I146" i="4" s="1"/>
  <c r="E47" i="4"/>
  <c r="F47" i="4"/>
  <c r="K146" i="4" s="1"/>
  <c r="B47" i="4"/>
  <c r="R39" i="4"/>
  <c r="R41" i="4" s="1"/>
  <c r="Q39" i="4"/>
  <c r="Q41" i="4" s="1"/>
  <c r="O39" i="4"/>
  <c r="N39" i="4"/>
  <c r="M39" i="4"/>
  <c r="M41" i="4" s="1"/>
  <c r="L39" i="4"/>
  <c r="L41" i="4" s="1"/>
  <c r="P132" i="4"/>
  <c r="J39" i="4"/>
  <c r="J41" i="4" s="1"/>
  <c r="I39" i="4"/>
  <c r="I41" i="4" s="1"/>
  <c r="H39" i="4"/>
  <c r="G39" i="4"/>
  <c r="F39" i="4"/>
  <c r="F41" i="4" s="1"/>
  <c r="E39" i="4"/>
  <c r="E41" i="4" s="1"/>
  <c r="D39" i="4"/>
  <c r="C39" i="4"/>
  <c r="C41" i="4" s="1"/>
  <c r="B39" i="4"/>
  <c r="B41" i="4" s="1"/>
  <c r="R26" i="4"/>
  <c r="R28" i="4" s="1"/>
  <c r="Q26" i="4"/>
  <c r="O26" i="4"/>
  <c r="O28" i="4" s="1"/>
  <c r="N26" i="4"/>
  <c r="M26" i="4"/>
  <c r="L26" i="4"/>
  <c r="L28" i="4" s="1"/>
  <c r="J26" i="4"/>
  <c r="J28" i="4" s="1"/>
  <c r="I26" i="4"/>
  <c r="H26" i="4"/>
  <c r="G26" i="4"/>
  <c r="G28" i="4" s="1"/>
  <c r="F26" i="4"/>
  <c r="F28" i="4" s="1"/>
  <c r="E26" i="4"/>
  <c r="E28" i="4" s="1"/>
  <c r="D26" i="4"/>
  <c r="D28" i="4" s="1"/>
  <c r="C26" i="4"/>
  <c r="C28" i="4" s="1"/>
  <c r="B26" i="4"/>
  <c r="B28" i="4" s="1"/>
  <c r="R13" i="4"/>
  <c r="R15" i="4" s="1"/>
  <c r="Q13" i="4"/>
  <c r="O13" i="4"/>
  <c r="N13" i="4"/>
  <c r="N15" i="4" s="1"/>
  <c r="M13" i="4"/>
  <c r="L13" i="4"/>
  <c r="L15" i="4" s="1"/>
  <c r="J13" i="4"/>
  <c r="I13" i="4"/>
  <c r="H13" i="4"/>
  <c r="H15" i="4" s="1"/>
  <c r="G13" i="4"/>
  <c r="G15" i="4" s="1"/>
  <c r="C13" i="4"/>
  <c r="C15" i="4" s="1"/>
  <c r="D13" i="4"/>
  <c r="D15" i="4" s="1"/>
  <c r="E13" i="4"/>
  <c r="E15" i="4" s="1"/>
  <c r="F13" i="4"/>
  <c r="K81" i="4" s="1"/>
  <c r="B13" i="4"/>
  <c r="R154" i="4"/>
  <c r="R150" i="4" s="1"/>
  <c r="Q154" i="4"/>
  <c r="Q150" i="4" s="1"/>
  <c r="R153" i="4"/>
  <c r="R149" i="4" s="1"/>
  <c r="Q153" i="4"/>
  <c r="Q149" i="4" s="1"/>
  <c r="P154" i="4"/>
  <c r="P150" i="4" s="1"/>
  <c r="O154" i="4"/>
  <c r="O150" i="4" s="1"/>
  <c r="N154" i="4"/>
  <c r="N150" i="4" s="1"/>
  <c r="M154" i="4"/>
  <c r="M150" i="4" s="1"/>
  <c r="L154" i="4"/>
  <c r="L150" i="4" s="1"/>
  <c r="P153" i="4"/>
  <c r="P149" i="4" s="1"/>
  <c r="O153" i="4"/>
  <c r="O149" i="4" s="1"/>
  <c r="N153" i="4"/>
  <c r="N149" i="4" s="1"/>
  <c r="M153" i="4"/>
  <c r="M149" i="4" s="1"/>
  <c r="L153" i="4"/>
  <c r="L149" i="4" s="1"/>
  <c r="K154" i="4"/>
  <c r="K150" i="4" s="1"/>
  <c r="K153" i="4"/>
  <c r="K149" i="4" s="1"/>
  <c r="H153" i="4"/>
  <c r="H149" i="4" s="1"/>
  <c r="I153" i="4"/>
  <c r="I149" i="4" s="1"/>
  <c r="J153" i="4"/>
  <c r="J149" i="4" s="1"/>
  <c r="H154" i="4"/>
  <c r="H150" i="4" s="1"/>
  <c r="I154" i="4"/>
  <c r="I150" i="4" s="1"/>
  <c r="J154" i="4"/>
  <c r="J150" i="4" s="1"/>
  <c r="G154" i="4"/>
  <c r="G150" i="4" s="1"/>
  <c r="G153" i="4"/>
  <c r="G149" i="4" s="1"/>
  <c r="R145" i="4"/>
  <c r="Q145" i="4"/>
  <c r="P145" i="4"/>
  <c r="O145" i="4"/>
  <c r="N145" i="4"/>
  <c r="M145" i="4"/>
  <c r="L145" i="4"/>
  <c r="K145" i="4"/>
  <c r="J145" i="4"/>
  <c r="I145" i="4"/>
  <c r="H145" i="4"/>
  <c r="G145" i="4"/>
  <c r="R144" i="4"/>
  <c r="Q144" i="4"/>
  <c r="P144" i="4"/>
  <c r="O144" i="4"/>
  <c r="N144" i="4"/>
  <c r="M144" i="4"/>
  <c r="L144" i="4"/>
  <c r="K144" i="4"/>
  <c r="J144" i="4"/>
  <c r="I144" i="4"/>
  <c r="H144" i="4"/>
  <c r="G144" i="4"/>
  <c r="R143" i="4"/>
  <c r="Q143" i="4"/>
  <c r="P143" i="4"/>
  <c r="O143" i="4"/>
  <c r="N143" i="4"/>
  <c r="M143" i="4"/>
  <c r="L143" i="4"/>
  <c r="K143" i="4"/>
  <c r="J143" i="4"/>
  <c r="I143" i="4"/>
  <c r="H143" i="4"/>
  <c r="G143" i="4"/>
  <c r="R131" i="4"/>
  <c r="Q131" i="4"/>
  <c r="P131" i="4"/>
  <c r="O131" i="4"/>
  <c r="N131" i="4"/>
  <c r="M131" i="4"/>
  <c r="L131" i="4"/>
  <c r="K131" i="4"/>
  <c r="J131" i="4"/>
  <c r="I131" i="4"/>
  <c r="H131" i="4"/>
  <c r="G131" i="4"/>
  <c r="R130" i="4"/>
  <c r="Q130" i="4"/>
  <c r="P130" i="4"/>
  <c r="O130" i="4"/>
  <c r="R129" i="4"/>
  <c r="Q129" i="4"/>
  <c r="P129" i="4"/>
  <c r="O129" i="4"/>
  <c r="N129" i="4"/>
  <c r="M129" i="4"/>
  <c r="L129" i="4"/>
  <c r="K129" i="4"/>
  <c r="J129" i="4"/>
  <c r="I129" i="4"/>
  <c r="H129" i="4"/>
  <c r="G129" i="4"/>
  <c r="R128" i="4"/>
  <c r="Q128" i="4"/>
  <c r="P128" i="4"/>
  <c r="O128" i="4"/>
  <c r="N128" i="4"/>
  <c r="M128" i="4"/>
  <c r="L128" i="4"/>
  <c r="K128" i="4"/>
  <c r="J128" i="4"/>
  <c r="I128" i="4"/>
  <c r="H128" i="4"/>
  <c r="G128" i="4"/>
  <c r="R127" i="4"/>
  <c r="Q127" i="4"/>
  <c r="P127" i="4"/>
  <c r="O127" i="4"/>
  <c r="N127" i="4"/>
  <c r="M127" i="4"/>
  <c r="L127" i="4"/>
  <c r="K127" i="4"/>
  <c r="J127" i="4"/>
  <c r="I127" i="4"/>
  <c r="H127" i="4"/>
  <c r="G127" i="4"/>
  <c r="R126" i="4"/>
  <c r="Q126" i="4"/>
  <c r="P126" i="4"/>
  <c r="O126" i="4"/>
  <c r="N126" i="4"/>
  <c r="M126" i="4"/>
  <c r="L126" i="4"/>
  <c r="K126" i="4"/>
  <c r="J126" i="4"/>
  <c r="I126" i="4"/>
  <c r="H126" i="4"/>
  <c r="G126" i="4"/>
  <c r="R125" i="4"/>
  <c r="Q125" i="4"/>
  <c r="P125" i="4"/>
  <c r="O125" i="4"/>
  <c r="N125" i="4"/>
  <c r="M125" i="4"/>
  <c r="L125" i="4"/>
  <c r="K125" i="4"/>
  <c r="J125" i="4"/>
  <c r="I125" i="4"/>
  <c r="H125" i="4"/>
  <c r="G125" i="4"/>
  <c r="R106" i="4"/>
  <c r="Q106" i="4"/>
  <c r="P106" i="4"/>
  <c r="O106" i="4"/>
  <c r="N106" i="4"/>
  <c r="M106" i="4"/>
  <c r="L106" i="4"/>
  <c r="K106" i="4"/>
  <c r="J106" i="4"/>
  <c r="I106" i="4"/>
  <c r="H106" i="4"/>
  <c r="G106" i="4"/>
  <c r="R105" i="4"/>
  <c r="Q105" i="4"/>
  <c r="P105" i="4"/>
  <c r="O105" i="4"/>
  <c r="N105" i="4"/>
  <c r="M105" i="4"/>
  <c r="L105" i="4"/>
  <c r="K105" i="4"/>
  <c r="J105" i="4"/>
  <c r="I105" i="4"/>
  <c r="H105" i="4"/>
  <c r="G105" i="4"/>
  <c r="R104" i="4"/>
  <c r="Q104" i="4"/>
  <c r="P104" i="4"/>
  <c r="O104" i="4"/>
  <c r="N104" i="4"/>
  <c r="M104" i="4"/>
  <c r="L104" i="4"/>
  <c r="K104" i="4"/>
  <c r="J104" i="4"/>
  <c r="I104" i="4"/>
  <c r="H104" i="4"/>
  <c r="G104" i="4"/>
  <c r="R103" i="4"/>
  <c r="Q103" i="4"/>
  <c r="P103" i="4"/>
  <c r="O103" i="4"/>
  <c r="N103" i="4"/>
  <c r="M103" i="4"/>
  <c r="L103" i="4"/>
  <c r="K103" i="4"/>
  <c r="J103" i="4"/>
  <c r="I103" i="4"/>
  <c r="H103" i="4"/>
  <c r="G103" i="4"/>
  <c r="R101" i="4"/>
  <c r="Q101" i="4"/>
  <c r="P101" i="4"/>
  <c r="O101" i="4"/>
  <c r="N101" i="4"/>
  <c r="M101" i="4"/>
  <c r="L101" i="4"/>
  <c r="K101" i="4"/>
  <c r="J101" i="4"/>
  <c r="I101" i="4"/>
  <c r="H101" i="4"/>
  <c r="G101" i="4"/>
  <c r="R100" i="4"/>
  <c r="Q100" i="4"/>
  <c r="P100" i="4"/>
  <c r="O100" i="4"/>
  <c r="N100" i="4"/>
  <c r="M100" i="4"/>
  <c r="L100" i="4"/>
  <c r="K100" i="4"/>
  <c r="J100" i="4"/>
  <c r="I100" i="4"/>
  <c r="H100" i="4"/>
  <c r="G100" i="4"/>
  <c r="R99" i="4"/>
  <c r="Q99" i="4"/>
  <c r="P99" i="4"/>
  <c r="O99" i="4"/>
  <c r="N99" i="4"/>
  <c r="M99" i="4"/>
  <c r="L99" i="4"/>
  <c r="K99" i="4"/>
  <c r="J99" i="4"/>
  <c r="I99" i="4"/>
  <c r="H99" i="4"/>
  <c r="G99" i="4"/>
  <c r="R80" i="4"/>
  <c r="Q80" i="4"/>
  <c r="Q79" i="4"/>
  <c r="R78" i="4"/>
  <c r="Q78" i="4"/>
  <c r="R77" i="4"/>
  <c r="Q77" i="4"/>
  <c r="R75" i="4"/>
  <c r="Q75" i="4"/>
  <c r="R74" i="4"/>
  <c r="Q74" i="4"/>
  <c r="R73" i="4"/>
  <c r="Q73" i="4"/>
  <c r="P80" i="4"/>
  <c r="O80" i="4"/>
  <c r="N80" i="4"/>
  <c r="M80" i="4"/>
  <c r="L80" i="4"/>
  <c r="P79" i="4"/>
  <c r="O79" i="4"/>
  <c r="N79" i="4"/>
  <c r="M79" i="4"/>
  <c r="L79" i="4"/>
  <c r="P78" i="4"/>
  <c r="O78" i="4"/>
  <c r="N78" i="4"/>
  <c r="M78" i="4"/>
  <c r="L78" i="4"/>
  <c r="P77" i="4"/>
  <c r="O77" i="4"/>
  <c r="N77" i="4"/>
  <c r="M77" i="4"/>
  <c r="L77" i="4"/>
  <c r="P75" i="4"/>
  <c r="O75" i="4"/>
  <c r="N75" i="4"/>
  <c r="M75" i="4"/>
  <c r="L75" i="4"/>
  <c r="P74" i="4"/>
  <c r="O74" i="4"/>
  <c r="N74" i="4"/>
  <c r="M74" i="4"/>
  <c r="L74" i="4"/>
  <c r="P73" i="4"/>
  <c r="O73" i="4"/>
  <c r="N73" i="4"/>
  <c r="M73" i="4"/>
  <c r="L73" i="4"/>
  <c r="G74" i="4"/>
  <c r="H74" i="4"/>
  <c r="I74" i="4"/>
  <c r="J74" i="4"/>
  <c r="K74" i="4"/>
  <c r="H75" i="4"/>
  <c r="I75" i="4"/>
  <c r="J75" i="4"/>
  <c r="K75" i="4"/>
  <c r="G77" i="4"/>
  <c r="H77" i="4"/>
  <c r="I77" i="4"/>
  <c r="J77" i="4"/>
  <c r="K77" i="4"/>
  <c r="G78" i="4"/>
  <c r="H78" i="4"/>
  <c r="I78" i="4"/>
  <c r="J78" i="4"/>
  <c r="K78" i="4"/>
  <c r="G79" i="4"/>
  <c r="H79" i="4"/>
  <c r="I79" i="4"/>
  <c r="J79" i="4"/>
  <c r="K79" i="4"/>
  <c r="G80" i="4"/>
  <c r="H80" i="4"/>
  <c r="I80" i="4"/>
  <c r="J80" i="4"/>
  <c r="K80" i="4"/>
  <c r="K73" i="4"/>
  <c r="H73" i="4"/>
  <c r="I73" i="4"/>
  <c r="J73" i="4"/>
  <c r="G73" i="4"/>
  <c r="Q100" i="9"/>
  <c r="N100" i="9"/>
  <c r="L100" i="9"/>
  <c r="I100" i="9"/>
  <c r="E100" i="9"/>
  <c r="C100" i="9"/>
  <c r="R83" i="9"/>
  <c r="R92" i="9" s="1"/>
  <c r="R98" i="9" s="1"/>
  <c r="R100" i="9" s="1"/>
  <c r="Q83" i="9"/>
  <c r="Q92" i="9" s="1"/>
  <c r="Q98" i="9" s="1"/>
  <c r="O83" i="9"/>
  <c r="O92" i="9" s="1"/>
  <c r="O98" i="9" s="1"/>
  <c r="N83" i="9"/>
  <c r="N92" i="9" s="1"/>
  <c r="N98" i="9" s="1"/>
  <c r="M83" i="9"/>
  <c r="M92" i="9" s="1"/>
  <c r="M98" i="9" s="1"/>
  <c r="L83" i="9"/>
  <c r="L92" i="9" s="1"/>
  <c r="L98" i="9" s="1"/>
  <c r="J83" i="9"/>
  <c r="J92" i="9" s="1"/>
  <c r="J98" i="9" s="1"/>
  <c r="J100" i="9" s="1"/>
  <c r="I83" i="9"/>
  <c r="I92" i="9" s="1"/>
  <c r="I98" i="9" s="1"/>
  <c r="H83" i="9"/>
  <c r="H92" i="9" s="1"/>
  <c r="H98" i="9" s="1"/>
  <c r="G83" i="9"/>
  <c r="G92" i="9" s="1"/>
  <c r="F83" i="9"/>
  <c r="E83" i="9"/>
  <c r="E92" i="9" s="1"/>
  <c r="E98" i="9" s="1"/>
  <c r="D83" i="9"/>
  <c r="D92" i="9" s="1"/>
  <c r="D98" i="9" s="1"/>
  <c r="D100" i="9" s="1"/>
  <c r="C83" i="9"/>
  <c r="C92" i="9" s="1"/>
  <c r="C98" i="9" s="1"/>
  <c r="B83" i="9"/>
  <c r="B92" i="9" s="1"/>
  <c r="B98" i="9" s="1"/>
  <c r="B100" i="9" s="1"/>
  <c r="R13" i="9"/>
  <c r="Q13" i="9"/>
  <c r="O13" i="9"/>
  <c r="N13" i="9"/>
  <c r="M13" i="9"/>
  <c r="L13" i="9"/>
  <c r="J13" i="9"/>
  <c r="I13" i="9"/>
  <c r="H13" i="9"/>
  <c r="G13" i="9"/>
  <c r="F13" i="9"/>
  <c r="C13" i="9"/>
  <c r="D13" i="9"/>
  <c r="E13" i="9"/>
  <c r="B13" i="9"/>
  <c r="R8" i="9"/>
  <c r="Q8" i="9"/>
  <c r="O8" i="9"/>
  <c r="N8" i="9"/>
  <c r="M8" i="9"/>
  <c r="L8" i="9"/>
  <c r="J8" i="9"/>
  <c r="I8" i="9"/>
  <c r="H8" i="9"/>
  <c r="G8" i="9"/>
  <c r="F8" i="9"/>
  <c r="C8" i="9"/>
  <c r="D8" i="9"/>
  <c r="E8" i="9"/>
  <c r="B8" i="9"/>
  <c r="R17" i="9" l="1"/>
  <c r="R24" i="9" s="1"/>
  <c r="R120" i="9" s="1"/>
  <c r="R122" i="9" s="1"/>
  <c r="R123" i="9" s="1"/>
  <c r="O101" i="9"/>
  <c r="O136" i="9"/>
  <c r="O138" i="9" s="1"/>
  <c r="O139" i="9" s="1"/>
  <c r="H101" i="9"/>
  <c r="H103" i="9" s="1"/>
  <c r="H113" i="9" s="1"/>
  <c r="H136" i="9"/>
  <c r="H138" i="9" s="1"/>
  <c r="H139" i="9" s="1"/>
  <c r="M101" i="9"/>
  <c r="M103" i="9" s="1"/>
  <c r="M113" i="9" s="1"/>
  <c r="M136" i="9"/>
  <c r="M138" i="9" s="1"/>
  <c r="M139" i="9" s="1"/>
  <c r="Q17" i="9"/>
  <c r="Q24" i="9" s="1"/>
  <c r="Q26" i="9" s="1"/>
  <c r="E101" i="9"/>
  <c r="E136" i="9"/>
  <c r="E138" i="9" s="1"/>
  <c r="E139" i="9" s="1"/>
  <c r="I101" i="9"/>
  <c r="I103" i="9" s="1"/>
  <c r="I113" i="9" s="1"/>
  <c r="I136" i="9"/>
  <c r="I138" i="9" s="1"/>
  <c r="I139" i="9" s="1"/>
  <c r="N101" i="9"/>
  <c r="N103" i="9" s="1"/>
  <c r="N113" i="9" s="1"/>
  <c r="N136" i="9"/>
  <c r="N138" i="9" s="1"/>
  <c r="N139" i="9" s="1"/>
  <c r="O100" i="9"/>
  <c r="J101" i="9"/>
  <c r="J103" i="9" s="1"/>
  <c r="J113" i="9" s="1"/>
  <c r="J136" i="9"/>
  <c r="J138" i="9" s="1"/>
  <c r="J139" i="9" s="1"/>
  <c r="C101" i="9"/>
  <c r="C103" i="9" s="1"/>
  <c r="C113" i="9" s="1"/>
  <c r="C136" i="9"/>
  <c r="C138" i="9" s="1"/>
  <c r="C139" i="9" s="1"/>
  <c r="K92" i="9"/>
  <c r="G98" i="9"/>
  <c r="P98" i="9"/>
  <c r="L101" i="9"/>
  <c r="L103" i="9" s="1"/>
  <c r="L113" i="9" s="1"/>
  <c r="L136" i="9"/>
  <c r="L138" i="9" s="1"/>
  <c r="L139" i="9" s="1"/>
  <c r="Q101" i="9"/>
  <c r="Q103" i="9" s="1"/>
  <c r="Q113" i="9" s="1"/>
  <c r="Q136" i="9"/>
  <c r="Q138" i="9" s="1"/>
  <c r="Q139" i="9" s="1"/>
  <c r="H100" i="9"/>
  <c r="M100" i="9"/>
  <c r="B101" i="9"/>
  <c r="B103" i="9" s="1"/>
  <c r="B113" i="9" s="1"/>
  <c r="F98" i="9"/>
  <c r="B136" i="9"/>
  <c r="B138" i="9" s="1"/>
  <c r="B139" i="9" s="1"/>
  <c r="D101" i="9"/>
  <c r="D103" i="9" s="1"/>
  <c r="D113" i="9" s="1"/>
  <c r="D136" i="9"/>
  <c r="D138" i="9" s="1"/>
  <c r="D139" i="9" s="1"/>
  <c r="R101" i="9"/>
  <c r="R103" i="9" s="1"/>
  <c r="R113" i="9" s="1"/>
  <c r="R136" i="9"/>
  <c r="R138" i="9" s="1"/>
  <c r="R139" i="9" s="1"/>
  <c r="P92" i="9"/>
  <c r="F92" i="9"/>
  <c r="C17" i="9"/>
  <c r="C24" i="9" s="1"/>
  <c r="I17" i="9"/>
  <c r="I24" i="9" s="1"/>
  <c r="I26" i="9" s="1"/>
  <c r="M17" i="9"/>
  <c r="M24" i="9" s="1"/>
  <c r="M26" i="9" s="1"/>
  <c r="E17" i="9"/>
  <c r="E24" i="9" s="1"/>
  <c r="E120" i="9" s="1"/>
  <c r="E122" i="9" s="1"/>
  <c r="E123" i="9" s="1"/>
  <c r="G17" i="9"/>
  <c r="B17" i="9"/>
  <c r="J17" i="9"/>
  <c r="J24" i="9" s="1"/>
  <c r="N17" i="9"/>
  <c r="N24" i="9" s="1"/>
  <c r="N27" i="9" s="1"/>
  <c r="N29" i="9" s="1"/>
  <c r="I144" i="6"/>
  <c r="I147" i="6"/>
  <c r="N41" i="4"/>
  <c r="S132" i="4"/>
  <c r="L132" i="4"/>
  <c r="N28" i="4"/>
  <c r="S107" i="4"/>
  <c r="P146" i="4"/>
  <c r="F16" i="6"/>
  <c r="R110" i="9"/>
  <c r="T22" i="17" s="1"/>
  <c r="O17" i="9"/>
  <c r="O24" i="9" s="1"/>
  <c r="O120" i="9" s="1"/>
  <c r="O122" i="9" s="1"/>
  <c r="O123" i="9" s="1"/>
  <c r="B110" i="9"/>
  <c r="D22" i="17" s="1"/>
  <c r="D17" i="9"/>
  <c r="D24" i="9" s="1"/>
  <c r="D26" i="9" s="1"/>
  <c r="H17" i="9"/>
  <c r="H24" i="9" s="1"/>
  <c r="H120" i="9" s="1"/>
  <c r="H122" i="9" s="1"/>
  <c r="H123" i="9" s="1"/>
  <c r="C110" i="9"/>
  <c r="E22" i="17" s="1"/>
  <c r="L17" i="9"/>
  <c r="N110" i="9"/>
  <c r="P22" i="17" s="1"/>
  <c r="C120" i="9"/>
  <c r="C122" i="9" s="1"/>
  <c r="C123" i="9" s="1"/>
  <c r="C26" i="9"/>
  <c r="C27" i="9"/>
  <c r="C29" i="9" s="1"/>
  <c r="M120" i="9"/>
  <c r="M122" i="9" s="1"/>
  <c r="M123" i="9" s="1"/>
  <c r="D120" i="9"/>
  <c r="D122" i="9" s="1"/>
  <c r="D123" i="9" s="1"/>
  <c r="J120" i="9"/>
  <c r="J122" i="9" s="1"/>
  <c r="J123" i="9" s="1"/>
  <c r="J27" i="9"/>
  <c r="J29" i="9" s="1"/>
  <c r="J26" i="9"/>
  <c r="N120" i="9"/>
  <c r="N122" i="9" s="1"/>
  <c r="N123" i="9" s="1"/>
  <c r="N26" i="9"/>
  <c r="E26" i="9"/>
  <c r="R46" i="9"/>
  <c r="E27" i="9"/>
  <c r="E29" i="9" s="1"/>
  <c r="G4" i="17" s="1"/>
  <c r="O27" i="9"/>
  <c r="O29" i="9" s="1"/>
  <c r="D110" i="9"/>
  <c r="F22" i="17" s="1"/>
  <c r="L110" i="9"/>
  <c r="N22" i="17" s="1"/>
  <c r="I110" i="9"/>
  <c r="K22" i="17" s="1"/>
  <c r="M110" i="9"/>
  <c r="O22" i="17" s="1"/>
  <c r="Q110" i="9"/>
  <c r="S22" i="17" s="1"/>
  <c r="R51" i="9"/>
  <c r="O146" i="4"/>
  <c r="N146" i="4"/>
  <c r="J146" i="4"/>
  <c r="H146" i="4"/>
  <c r="G146" i="4"/>
  <c r="R146" i="4"/>
  <c r="P47" i="6"/>
  <c r="P49" i="6" s="1"/>
  <c r="P50" i="6" s="1"/>
  <c r="K47" i="6"/>
  <c r="K49" i="6" s="1"/>
  <c r="K50" i="6" s="1"/>
  <c r="J40" i="9"/>
  <c r="L146" i="4"/>
  <c r="N132" i="4"/>
  <c r="I132" i="4"/>
  <c r="M132" i="4"/>
  <c r="K107" i="4"/>
  <c r="H107" i="4"/>
  <c r="G107" i="4"/>
  <c r="L81" i="4"/>
  <c r="R81" i="4"/>
  <c r="G81" i="4"/>
  <c r="J81" i="4"/>
  <c r="I81" i="4"/>
  <c r="P81" i="4"/>
  <c r="O23" i="6"/>
  <c r="D144" i="6"/>
  <c r="H144" i="6"/>
  <c r="L144" i="6"/>
  <c r="P144" i="6"/>
  <c r="M144" i="6"/>
  <c r="Q144" i="6"/>
  <c r="B144" i="6"/>
  <c r="B147" i="6"/>
  <c r="F147" i="6"/>
  <c r="F144" i="6"/>
  <c r="J144" i="6"/>
  <c r="N144" i="6"/>
  <c r="R144" i="6"/>
  <c r="E144" i="6"/>
  <c r="E23" i="6"/>
  <c r="I23" i="6"/>
  <c r="Q23" i="6"/>
  <c r="N23" i="6"/>
  <c r="R23" i="6"/>
  <c r="M23" i="6"/>
  <c r="O97" i="6"/>
  <c r="O98" i="6" s="1"/>
  <c r="D23" i="6"/>
  <c r="H23" i="6"/>
  <c r="L23" i="6"/>
  <c r="B25" i="6"/>
  <c r="B26" i="6" s="1"/>
  <c r="B74" i="6"/>
  <c r="F74" i="6"/>
  <c r="F25" i="6"/>
  <c r="F26" i="6" s="1"/>
  <c r="J25" i="6"/>
  <c r="J26" i="6" s="1"/>
  <c r="J74" i="6"/>
  <c r="C74" i="6"/>
  <c r="C25" i="6"/>
  <c r="C26" i="6" s="1"/>
  <c r="G74" i="6"/>
  <c r="G25" i="6"/>
  <c r="G26" i="6" s="1"/>
  <c r="K74" i="6"/>
  <c r="O74" i="6"/>
  <c r="M25" i="6"/>
  <c r="M26" i="6" s="1"/>
  <c r="M74" i="6"/>
  <c r="D73" i="6"/>
  <c r="H73" i="6"/>
  <c r="L73" i="6"/>
  <c r="P73" i="6"/>
  <c r="B23" i="6"/>
  <c r="F23" i="6"/>
  <c r="J23" i="6"/>
  <c r="E73" i="6"/>
  <c r="I73" i="6"/>
  <c r="Q73" i="6"/>
  <c r="C23" i="6"/>
  <c r="G23" i="6"/>
  <c r="N73" i="6"/>
  <c r="R73" i="6"/>
  <c r="O132" i="4"/>
  <c r="L107" i="4"/>
  <c r="P107" i="4"/>
  <c r="Q81" i="4"/>
  <c r="Q132" i="4"/>
  <c r="Q146" i="4"/>
  <c r="M107" i="4"/>
  <c r="Q107" i="4"/>
  <c r="O81" i="4"/>
  <c r="J107" i="4"/>
  <c r="N107" i="4"/>
  <c r="R107" i="4"/>
  <c r="J132" i="4"/>
  <c r="R132" i="4"/>
  <c r="H28" i="4"/>
  <c r="G41" i="4"/>
  <c r="O41" i="4"/>
  <c r="H132" i="4"/>
  <c r="I107" i="4"/>
  <c r="K132" i="4"/>
  <c r="O107" i="4"/>
  <c r="I28" i="4"/>
  <c r="M28" i="4"/>
  <c r="Q28" i="4"/>
  <c r="D41" i="4"/>
  <c r="H41" i="4"/>
  <c r="C144" i="6"/>
  <c r="O144" i="6"/>
  <c r="G144" i="6"/>
  <c r="K144" i="6"/>
  <c r="M146" i="4"/>
  <c r="I15" i="4"/>
  <c r="J15" i="4"/>
  <c r="M15" i="4"/>
  <c r="N81" i="4"/>
  <c r="F15" i="4"/>
  <c r="O15" i="4"/>
  <c r="Q15" i="4"/>
  <c r="G132" i="4"/>
  <c r="M81" i="4"/>
  <c r="H81" i="4"/>
  <c r="R55" i="9" l="1"/>
  <c r="R26" i="9"/>
  <c r="U17" i="9"/>
  <c r="U24" i="9" s="1"/>
  <c r="U27" i="9" s="1"/>
  <c r="R62" i="9"/>
  <c r="R128" i="9" s="1"/>
  <c r="R130" i="9" s="1"/>
  <c r="R131" i="9" s="1"/>
  <c r="R27" i="9"/>
  <c r="R29" i="9" s="1"/>
  <c r="T4" i="17" s="1"/>
  <c r="C37" i="9"/>
  <c r="E14" i="17" s="1"/>
  <c r="E4" i="17"/>
  <c r="H110" i="9"/>
  <c r="J22" i="17" s="1"/>
  <c r="D27" i="9"/>
  <c r="D29" i="9" s="1"/>
  <c r="Q120" i="9"/>
  <c r="Q122" i="9" s="1"/>
  <c r="Q123" i="9" s="1"/>
  <c r="I120" i="9"/>
  <c r="I122" i="9" s="1"/>
  <c r="I123" i="9" s="1"/>
  <c r="K98" i="9"/>
  <c r="G101" i="9"/>
  <c r="G136" i="9"/>
  <c r="G138" i="9" s="1"/>
  <c r="G139" i="9" s="1"/>
  <c r="G100" i="9"/>
  <c r="F101" i="9"/>
  <c r="F103" i="9" s="1"/>
  <c r="E103" i="9"/>
  <c r="B24" i="9"/>
  <c r="F17" i="9"/>
  <c r="F24" i="9" s="1"/>
  <c r="F120" i="9" s="1"/>
  <c r="F122" i="9" s="1"/>
  <c r="F123" i="9" s="1"/>
  <c r="O37" i="9"/>
  <c r="Q14" i="17" s="1"/>
  <c r="Q4" i="17"/>
  <c r="Q27" i="9"/>
  <c r="Q29" i="9" s="1"/>
  <c r="I27" i="9"/>
  <c r="I29" i="9" s="1"/>
  <c r="L24" i="9"/>
  <c r="L27" i="9" s="1"/>
  <c r="L29" i="9" s="1"/>
  <c r="N4" i="17" s="1"/>
  <c r="P17" i="9"/>
  <c r="P24" i="9" s="1"/>
  <c r="N37" i="9"/>
  <c r="P14" i="17" s="1"/>
  <c r="P4" i="17"/>
  <c r="G24" i="9"/>
  <c r="K17" i="9"/>
  <c r="K24" i="9" s="1"/>
  <c r="J37" i="9"/>
  <c r="L14" i="17" s="1"/>
  <c r="L4" i="17"/>
  <c r="J110" i="9"/>
  <c r="L22" i="17" s="1"/>
  <c r="F136" i="9"/>
  <c r="F138" i="9" s="1"/>
  <c r="F139" i="9" s="1"/>
  <c r="F100" i="9"/>
  <c r="P100" i="9"/>
  <c r="P136" i="9"/>
  <c r="P138" i="9" s="1"/>
  <c r="P139" i="9" s="1"/>
  <c r="P101" i="9"/>
  <c r="O103" i="9"/>
  <c r="M27" i="9"/>
  <c r="M29" i="9" s="1"/>
  <c r="F26" i="9"/>
  <c r="F27" i="9"/>
  <c r="F29" i="9" s="1"/>
  <c r="P23" i="6"/>
  <c r="O26" i="9"/>
  <c r="H26" i="9"/>
  <c r="L37" i="9"/>
  <c r="N14" i="17" s="1"/>
  <c r="C40" i="9"/>
  <c r="O40" i="9"/>
  <c r="L26" i="9"/>
  <c r="H27" i="9"/>
  <c r="H29" i="9" s="1"/>
  <c r="N40" i="9"/>
  <c r="D40" i="9"/>
  <c r="I40" i="9"/>
  <c r="M40" i="9"/>
  <c r="E40" i="9"/>
  <c r="E37" i="9"/>
  <c r="G14" i="17" s="1"/>
  <c r="K23" i="6"/>
  <c r="K25" i="6"/>
  <c r="K26" i="6" s="1"/>
  <c r="O25" i="6"/>
  <c r="O26" i="6" s="1"/>
  <c r="N25" i="6"/>
  <c r="N26" i="6" s="1"/>
  <c r="N74" i="6"/>
  <c r="E74" i="6"/>
  <c r="E25" i="6"/>
  <c r="E26" i="6" s="1"/>
  <c r="P25" i="6"/>
  <c r="P26" i="6" s="1"/>
  <c r="P74" i="6"/>
  <c r="L25" i="6"/>
  <c r="L26" i="6" s="1"/>
  <c r="L74" i="6"/>
  <c r="Q74" i="6"/>
  <c r="Q25" i="6"/>
  <c r="Q26" i="6" s="1"/>
  <c r="H25" i="6"/>
  <c r="H26" i="6" s="1"/>
  <c r="H74" i="6"/>
  <c r="R25" i="6"/>
  <c r="R74" i="6"/>
  <c r="I25" i="6"/>
  <c r="I26" i="6" s="1"/>
  <c r="I74" i="6"/>
  <c r="D74" i="6"/>
  <c r="D25" i="6"/>
  <c r="D26" i="6" s="1"/>
  <c r="R64" i="9" l="1"/>
  <c r="R65" i="9"/>
  <c r="R37" i="9"/>
  <c r="T14" i="17" s="1"/>
  <c r="R40" i="9"/>
  <c r="U120" i="9"/>
  <c r="U122" i="9" s="1"/>
  <c r="U123" i="9" s="1"/>
  <c r="U26" i="9"/>
  <c r="R67" i="9"/>
  <c r="R74" i="9" s="1"/>
  <c r="U29" i="9"/>
  <c r="U65" i="9"/>
  <c r="R26" i="6"/>
  <c r="Q37" i="9"/>
  <c r="S14" i="17" s="1"/>
  <c r="S4" i="17"/>
  <c r="Q40" i="9"/>
  <c r="F113" i="9"/>
  <c r="F110" i="9"/>
  <c r="H22" i="17" s="1"/>
  <c r="L40" i="9"/>
  <c r="L120" i="9"/>
  <c r="L122" i="9" s="1"/>
  <c r="L123" i="9" s="1"/>
  <c r="M37" i="9"/>
  <c r="O14" i="17" s="1"/>
  <c r="O4" i="17"/>
  <c r="I37" i="9"/>
  <c r="K14" i="17" s="1"/>
  <c r="K4" i="17"/>
  <c r="E113" i="9"/>
  <c r="E110" i="9"/>
  <c r="G22" i="17" s="1"/>
  <c r="K101" i="9"/>
  <c r="G103" i="9"/>
  <c r="D37" i="9"/>
  <c r="F14" i="17" s="1"/>
  <c r="F4" i="17"/>
  <c r="O113" i="9"/>
  <c r="O110" i="9"/>
  <c r="Q22" i="17" s="1"/>
  <c r="H37" i="9"/>
  <c r="J14" i="17" s="1"/>
  <c r="J4" i="17"/>
  <c r="P103" i="9"/>
  <c r="K27" i="9"/>
  <c r="K29" i="9" s="1"/>
  <c r="K26" i="9"/>
  <c r="K120" i="9"/>
  <c r="K122" i="9" s="1"/>
  <c r="K123" i="9" s="1"/>
  <c r="P27" i="9"/>
  <c r="P29" i="9" s="1"/>
  <c r="P26" i="9"/>
  <c r="P120" i="9"/>
  <c r="P122" i="9" s="1"/>
  <c r="P123" i="9" s="1"/>
  <c r="K100" i="9"/>
  <c r="K136" i="9"/>
  <c r="K138" i="9" s="1"/>
  <c r="K139" i="9" s="1"/>
  <c r="G120" i="9"/>
  <c r="G122" i="9" s="1"/>
  <c r="G123" i="9" s="1"/>
  <c r="G27" i="9"/>
  <c r="G29" i="9" s="1"/>
  <c r="G26" i="9"/>
  <c r="B26" i="9"/>
  <c r="B27" i="9"/>
  <c r="B29" i="9" s="1"/>
  <c r="B120" i="9"/>
  <c r="B122" i="9" s="1"/>
  <c r="B123" i="9" s="1"/>
  <c r="F37" i="9"/>
  <c r="H14" i="17" s="1"/>
  <c r="H4" i="17"/>
  <c r="F40" i="9"/>
  <c r="H40" i="9"/>
  <c r="B44" i="9"/>
  <c r="C44" i="9"/>
  <c r="D44" i="9"/>
  <c r="E44" i="9"/>
  <c r="G44" i="9"/>
  <c r="H44" i="9"/>
  <c r="B45" i="9"/>
  <c r="C45" i="9"/>
  <c r="D45" i="9"/>
  <c r="E45" i="9"/>
  <c r="G45" i="9"/>
  <c r="H45" i="9"/>
  <c r="B46" i="9"/>
  <c r="C46" i="9"/>
  <c r="D46" i="9"/>
  <c r="E46" i="9"/>
  <c r="G46" i="9"/>
  <c r="H46" i="9"/>
  <c r="J46" i="9"/>
  <c r="L46" i="9"/>
  <c r="M46" i="9"/>
  <c r="N46" i="9"/>
  <c r="O46" i="9"/>
  <c r="B47" i="9"/>
  <c r="C47" i="9"/>
  <c r="D47" i="9"/>
  <c r="E47" i="9"/>
  <c r="F47" i="9"/>
  <c r="G47" i="9"/>
  <c r="H47" i="9"/>
  <c r="I47" i="9"/>
  <c r="J47" i="9"/>
  <c r="L47" i="9"/>
  <c r="M47" i="9"/>
  <c r="N47" i="9"/>
  <c r="O47" i="9"/>
  <c r="B48" i="9"/>
  <c r="C48" i="9"/>
  <c r="D48" i="9"/>
  <c r="E48" i="9"/>
  <c r="G48" i="9"/>
  <c r="H48" i="9"/>
  <c r="I48" i="9"/>
  <c r="J48" i="9"/>
  <c r="L48" i="9"/>
  <c r="M48" i="9"/>
  <c r="N48" i="9"/>
  <c r="O48" i="9"/>
  <c r="B49" i="9"/>
  <c r="C49" i="9"/>
  <c r="D49" i="9"/>
  <c r="E49" i="9"/>
  <c r="G49" i="9"/>
  <c r="H49" i="9"/>
  <c r="I49" i="9"/>
  <c r="J49" i="9"/>
  <c r="L49" i="9"/>
  <c r="M49" i="9"/>
  <c r="N49" i="9"/>
  <c r="O49" i="9"/>
  <c r="B50" i="9"/>
  <c r="C50" i="9"/>
  <c r="D50" i="9"/>
  <c r="E50" i="9"/>
  <c r="G50" i="9"/>
  <c r="H50" i="9"/>
  <c r="I50" i="9"/>
  <c r="J50" i="9"/>
  <c r="L50" i="9"/>
  <c r="M50" i="9"/>
  <c r="N50" i="9"/>
  <c r="O50" i="9"/>
  <c r="B53" i="9"/>
  <c r="C53" i="9"/>
  <c r="D53" i="9"/>
  <c r="E53" i="9"/>
  <c r="G53" i="9"/>
  <c r="H53" i="9"/>
  <c r="I53" i="9"/>
  <c r="J53" i="9"/>
  <c r="L53" i="9"/>
  <c r="N53" i="9"/>
  <c r="O53" i="9"/>
  <c r="B55" i="9"/>
  <c r="C55" i="9"/>
  <c r="D55" i="9"/>
  <c r="E55" i="9"/>
  <c r="G55" i="9"/>
  <c r="H55" i="9"/>
  <c r="I55" i="9"/>
  <c r="J55" i="9"/>
  <c r="L55" i="9"/>
  <c r="M55" i="9"/>
  <c r="N55" i="9"/>
  <c r="O55" i="9"/>
  <c r="B56" i="9"/>
  <c r="C56" i="9"/>
  <c r="D56" i="9"/>
  <c r="E56" i="9"/>
  <c r="G56" i="9"/>
  <c r="H56" i="9"/>
  <c r="I56" i="9"/>
  <c r="J56" i="9"/>
  <c r="L56" i="9"/>
  <c r="M56" i="9"/>
  <c r="N56" i="9"/>
  <c r="O56" i="9"/>
  <c r="B57" i="9"/>
  <c r="C57" i="9"/>
  <c r="D57" i="9"/>
  <c r="E57" i="9"/>
  <c r="G57" i="9"/>
  <c r="H57" i="9"/>
  <c r="I57" i="9"/>
  <c r="J57" i="9"/>
  <c r="L57" i="9"/>
  <c r="M57" i="9"/>
  <c r="N57" i="9"/>
  <c r="O57" i="9"/>
  <c r="B58" i="9"/>
  <c r="C58" i="9"/>
  <c r="D58" i="9"/>
  <c r="E58" i="9"/>
  <c r="G58" i="9"/>
  <c r="H58" i="9"/>
  <c r="I58" i="9"/>
  <c r="L58" i="9"/>
  <c r="M58" i="9"/>
  <c r="N58" i="9"/>
  <c r="O58" i="9"/>
  <c r="B59" i="9"/>
  <c r="C59" i="9"/>
  <c r="D59" i="9"/>
  <c r="E59" i="9"/>
  <c r="G59" i="9"/>
  <c r="H59" i="9"/>
  <c r="I59" i="9"/>
  <c r="J59" i="9"/>
  <c r="N59" i="9"/>
  <c r="O59" i="9"/>
  <c r="B60" i="9"/>
  <c r="C60" i="9"/>
  <c r="D60" i="9"/>
  <c r="E60" i="9"/>
  <c r="N60" i="9"/>
  <c r="O60" i="9"/>
  <c r="B62" i="9"/>
  <c r="C62" i="9"/>
  <c r="C128" i="9" s="1"/>
  <c r="D62" i="9"/>
  <c r="D128" i="9" s="1"/>
  <c r="E62" i="9"/>
  <c r="E128" i="9" s="1"/>
  <c r="G62" i="9"/>
  <c r="H62" i="9"/>
  <c r="H128" i="9" s="1"/>
  <c r="I62" i="9"/>
  <c r="I128" i="9" s="1"/>
  <c r="J62" i="9"/>
  <c r="J128" i="9" s="1"/>
  <c r="L62" i="9"/>
  <c r="M62" i="9"/>
  <c r="M128" i="9" s="1"/>
  <c r="N62" i="9"/>
  <c r="N128" i="9" s="1"/>
  <c r="O62" i="9"/>
  <c r="O128" i="9" s="1"/>
  <c r="B63" i="9"/>
  <c r="B127" i="9" s="1"/>
  <c r="C63" i="9"/>
  <c r="C127" i="9" s="1"/>
  <c r="D63" i="9"/>
  <c r="D127" i="9" s="1"/>
  <c r="E63" i="9"/>
  <c r="E127" i="9" s="1"/>
  <c r="F63" i="9"/>
  <c r="F127" i="9" s="1"/>
  <c r="G63" i="9"/>
  <c r="G127" i="9" s="1"/>
  <c r="H63" i="9"/>
  <c r="H127" i="9" s="1"/>
  <c r="I63" i="9"/>
  <c r="I127" i="9" s="1"/>
  <c r="J63" i="9"/>
  <c r="J127" i="9" s="1"/>
  <c r="K127" i="9"/>
  <c r="L63" i="9"/>
  <c r="L127" i="9" s="1"/>
  <c r="M63" i="9"/>
  <c r="M127" i="9" s="1"/>
  <c r="N63" i="9"/>
  <c r="N127" i="9" s="1"/>
  <c r="O63" i="9"/>
  <c r="O127" i="9" s="1"/>
  <c r="P127" i="9"/>
  <c r="B65" i="9"/>
  <c r="C65" i="9"/>
  <c r="D65" i="9"/>
  <c r="E65" i="9"/>
  <c r="F65" i="9"/>
  <c r="G65" i="9"/>
  <c r="H65" i="9"/>
  <c r="I65" i="9"/>
  <c r="J65" i="9"/>
  <c r="L65" i="9"/>
  <c r="M65" i="9"/>
  <c r="N65" i="9"/>
  <c r="O65" i="9"/>
  <c r="B66" i="9"/>
  <c r="C66" i="9"/>
  <c r="C129" i="9" s="1"/>
  <c r="D66" i="9"/>
  <c r="D129" i="9" s="1"/>
  <c r="E66" i="9"/>
  <c r="E129" i="9" s="1"/>
  <c r="G66" i="9"/>
  <c r="H66" i="9"/>
  <c r="H129" i="9" s="1"/>
  <c r="I66" i="9"/>
  <c r="I129" i="9" s="1"/>
  <c r="J66" i="9"/>
  <c r="J129" i="9" s="1"/>
  <c r="L66" i="9"/>
  <c r="M66" i="9"/>
  <c r="M129" i="9" s="1"/>
  <c r="N66" i="9"/>
  <c r="N129" i="9" s="1"/>
  <c r="O66" i="9"/>
  <c r="O129" i="9" s="1"/>
  <c r="B67" i="9"/>
  <c r="C67" i="9"/>
  <c r="D67" i="9"/>
  <c r="E67" i="9"/>
  <c r="F67" i="9"/>
  <c r="G67" i="9"/>
  <c r="G77" i="9" s="1"/>
  <c r="H67" i="9"/>
  <c r="I67" i="9"/>
  <c r="J67" i="9"/>
  <c r="L67" i="9"/>
  <c r="M67" i="9"/>
  <c r="N67" i="9"/>
  <c r="O67" i="9"/>
  <c r="B69" i="9"/>
  <c r="C69" i="9"/>
  <c r="D69" i="9"/>
  <c r="E69" i="9"/>
  <c r="F69" i="9"/>
  <c r="G69" i="9"/>
  <c r="H69" i="9"/>
  <c r="I69" i="9"/>
  <c r="J69" i="9"/>
  <c r="N69" i="9"/>
  <c r="O69" i="9"/>
  <c r="B70" i="9"/>
  <c r="C70" i="9"/>
  <c r="D70" i="9"/>
  <c r="E70" i="9"/>
  <c r="F70" i="9"/>
  <c r="N70" i="9"/>
  <c r="O70" i="9"/>
  <c r="B71" i="9"/>
  <c r="C71" i="9"/>
  <c r="D71" i="9"/>
  <c r="E71" i="9"/>
  <c r="G71" i="9"/>
  <c r="H71" i="9"/>
  <c r="I71" i="9"/>
  <c r="J71" i="9"/>
  <c r="L71" i="9"/>
  <c r="M71" i="9"/>
  <c r="N71" i="9"/>
  <c r="O71" i="9"/>
  <c r="B73" i="9"/>
  <c r="C73" i="9"/>
  <c r="D73" i="9"/>
  <c r="E73" i="9"/>
  <c r="G73" i="9"/>
  <c r="H73" i="9"/>
  <c r="I73" i="9"/>
  <c r="J73" i="9"/>
  <c r="L73" i="9"/>
  <c r="M73" i="9"/>
  <c r="N73" i="9"/>
  <c r="O73" i="9"/>
  <c r="Q46" i="9"/>
  <c r="Q47" i="9"/>
  <c r="Q48" i="9"/>
  <c r="U48" i="9" s="1"/>
  <c r="Q49" i="9"/>
  <c r="U49" i="9" s="1"/>
  <c r="Q50" i="9"/>
  <c r="U50" i="9" s="1"/>
  <c r="Q53" i="9"/>
  <c r="Q55" i="9"/>
  <c r="U55" i="9" s="1"/>
  <c r="Q56" i="9"/>
  <c r="Q57" i="9"/>
  <c r="Q58" i="9"/>
  <c r="Q59" i="9"/>
  <c r="Q62" i="9"/>
  <c r="Q63" i="9"/>
  <c r="Q127" i="9" s="1"/>
  <c r="Q65" i="9"/>
  <c r="Q66" i="9"/>
  <c r="Q129" i="9" s="1"/>
  <c r="Q67" i="9"/>
  <c r="Q69" i="9"/>
  <c r="Q71" i="9"/>
  <c r="Q73" i="9"/>
  <c r="U73" i="9" s="1"/>
  <c r="U51" i="9" l="1"/>
  <c r="Q128" i="9"/>
  <c r="U62" i="9"/>
  <c r="W4" i="17"/>
  <c r="U37" i="9"/>
  <c r="W14" i="17" s="1"/>
  <c r="U40" i="9"/>
  <c r="U67" i="9"/>
  <c r="B129" i="9"/>
  <c r="F66" i="9"/>
  <c r="F129" i="9" s="1"/>
  <c r="P59" i="9"/>
  <c r="K59" i="9"/>
  <c r="F59" i="9"/>
  <c r="P58" i="9"/>
  <c r="K45" i="9"/>
  <c r="F45" i="9"/>
  <c r="B37" i="9"/>
  <c r="D14" i="17" s="1"/>
  <c r="D4" i="17"/>
  <c r="B40" i="9"/>
  <c r="K37" i="9"/>
  <c r="M14" i="17" s="1"/>
  <c r="M4" i="17"/>
  <c r="K40" i="9"/>
  <c r="R4" i="17"/>
  <c r="P37" i="9"/>
  <c r="R14" i="17" s="1"/>
  <c r="P40" i="9"/>
  <c r="P67" i="9"/>
  <c r="P110" i="9"/>
  <c r="R22" i="17" s="1"/>
  <c r="P113" i="9"/>
  <c r="G113" i="9"/>
  <c r="G110" i="9"/>
  <c r="I22" i="17" s="1"/>
  <c r="P73" i="9"/>
  <c r="P71" i="9"/>
  <c r="L129" i="9"/>
  <c r="P66" i="9"/>
  <c r="P129" i="9" s="1"/>
  <c r="P60" i="9"/>
  <c r="F60" i="9"/>
  <c r="P53" i="9"/>
  <c r="K53" i="9"/>
  <c r="F53" i="9"/>
  <c r="P50" i="9"/>
  <c r="K50" i="9"/>
  <c r="F50" i="9"/>
  <c r="P49" i="9"/>
  <c r="K49" i="9"/>
  <c r="F49" i="9"/>
  <c r="P48" i="9"/>
  <c r="K48" i="9"/>
  <c r="K51" i="9" s="1"/>
  <c r="F48" i="9"/>
  <c r="K44" i="9"/>
  <c r="K46" i="9" s="1"/>
  <c r="F44" i="9"/>
  <c r="F46" i="9" s="1"/>
  <c r="P65" i="9"/>
  <c r="K103" i="9"/>
  <c r="K65" i="9"/>
  <c r="M74" i="9"/>
  <c r="G129" i="9"/>
  <c r="K66" i="9"/>
  <c r="K129" i="9" s="1"/>
  <c r="K58" i="9"/>
  <c r="F58" i="9"/>
  <c r="P57" i="9"/>
  <c r="K57" i="9"/>
  <c r="F57" i="9"/>
  <c r="P56" i="9"/>
  <c r="K56" i="9"/>
  <c r="F56" i="9"/>
  <c r="P55" i="9"/>
  <c r="G37" i="9"/>
  <c r="I14" i="17" s="1"/>
  <c r="I4" i="17"/>
  <c r="G40" i="9"/>
  <c r="P74" i="9"/>
  <c r="K73" i="9"/>
  <c r="K71" i="9"/>
  <c r="E74" i="9"/>
  <c r="F73" i="9"/>
  <c r="F71" i="9"/>
  <c r="F74" i="9" s="1"/>
  <c r="L128" i="9"/>
  <c r="P62" i="9"/>
  <c r="G128" i="9"/>
  <c r="K62" i="9"/>
  <c r="J130" i="9"/>
  <c r="J131" i="9" s="1"/>
  <c r="B128" i="9"/>
  <c r="F62" i="9"/>
  <c r="F128" i="9" s="1"/>
  <c r="F130" i="9" s="1"/>
  <c r="F131" i="9" s="1"/>
  <c r="K55" i="9"/>
  <c r="F55" i="9"/>
  <c r="L74" i="9"/>
  <c r="D74" i="9"/>
  <c r="I77" i="9"/>
  <c r="I74" i="9"/>
  <c r="H77" i="9"/>
  <c r="H74" i="9"/>
  <c r="Q74" i="9"/>
  <c r="O77" i="9"/>
  <c r="O74" i="9"/>
  <c r="G74" i="9"/>
  <c r="C74" i="9"/>
  <c r="N74" i="9"/>
  <c r="J74" i="9"/>
  <c r="B74" i="9"/>
  <c r="H130" i="9"/>
  <c r="H131" i="9" s="1"/>
  <c r="L130" i="9"/>
  <c r="L131" i="9" s="1"/>
  <c r="D130" i="9"/>
  <c r="D131" i="9" s="1"/>
  <c r="O130" i="9"/>
  <c r="O131" i="9" s="1"/>
  <c r="G130" i="9"/>
  <c r="G131" i="9" s="1"/>
  <c r="C130" i="9"/>
  <c r="C131" i="9" s="1"/>
  <c r="N130" i="9"/>
  <c r="N131" i="9" s="1"/>
  <c r="B130" i="9"/>
  <c r="B131" i="9" s="1"/>
  <c r="O51" i="9"/>
  <c r="G51" i="9"/>
  <c r="C51" i="9"/>
  <c r="Q130" i="9"/>
  <c r="Q131" i="9" s="1"/>
  <c r="M130" i="9"/>
  <c r="M131" i="9" s="1"/>
  <c r="I130" i="9"/>
  <c r="I131" i="9" s="1"/>
  <c r="E130" i="9"/>
  <c r="E131" i="9" s="1"/>
  <c r="N51" i="9"/>
  <c r="J51" i="9"/>
  <c r="F51" i="9"/>
  <c r="B51" i="9"/>
  <c r="O64" i="9"/>
  <c r="G64" i="9"/>
  <c r="C64" i="9"/>
  <c r="N77" i="9"/>
  <c r="J77" i="9"/>
  <c r="F77" i="9"/>
  <c r="B77" i="9"/>
  <c r="E77" i="9"/>
  <c r="N64" i="9"/>
  <c r="J64" i="9"/>
  <c r="B64" i="9"/>
  <c r="Q64" i="9"/>
  <c r="Q51" i="9"/>
  <c r="P77" i="9"/>
  <c r="L77" i="9"/>
  <c r="D77" i="9"/>
  <c r="M64" i="9"/>
  <c r="I64" i="9"/>
  <c r="E64" i="9"/>
  <c r="M51" i="9"/>
  <c r="I51" i="9"/>
  <c r="E51" i="9"/>
  <c r="Q77" i="9"/>
  <c r="M77" i="9"/>
  <c r="C77" i="9"/>
  <c r="L64" i="9"/>
  <c r="H64" i="9"/>
  <c r="D64" i="9"/>
  <c r="L51" i="9"/>
  <c r="H51" i="9"/>
  <c r="D51" i="9"/>
  <c r="R77" i="9"/>
  <c r="U64" i="9" l="1"/>
  <c r="U128" i="9"/>
  <c r="U130" i="9" s="1"/>
  <c r="U131" i="9" s="1"/>
  <c r="U77" i="9"/>
  <c r="U74" i="9"/>
  <c r="K110" i="9"/>
  <c r="M22" i="17" s="1"/>
  <c r="K67" i="9"/>
  <c r="K77" i="9" s="1"/>
  <c r="K113" i="9"/>
  <c r="K74" i="9"/>
  <c r="P51" i="9"/>
  <c r="P64" i="9"/>
  <c r="P128" i="9"/>
  <c r="P130" i="9" s="1"/>
  <c r="P131" i="9" s="1"/>
  <c r="K64" i="9"/>
  <c r="K128" i="9"/>
  <c r="K130" i="9" s="1"/>
  <c r="K131" i="9" s="1"/>
  <c r="F64" i="9"/>
  <c r="J4" i="2" l="1"/>
  <c r="H5" i="2"/>
  <c r="G5" i="2"/>
  <c r="F5" i="2"/>
  <c r="E5" i="2"/>
  <c r="D5" i="2"/>
  <c r="J5" i="2" s="1"/>
  <c r="J24" i="2" l="1"/>
  <c r="H20" i="3"/>
  <c r="H21" i="3"/>
  <c r="H30" i="3" s="1"/>
  <c r="H22" i="3"/>
  <c r="H27" i="3"/>
  <c r="H45" i="3" s="1"/>
  <c r="H19" i="3"/>
  <c r="H15" i="3"/>
  <c r="H12" i="3"/>
  <c r="H11" i="3"/>
  <c r="H10" i="3"/>
  <c r="H7" i="3"/>
  <c r="H6" i="3"/>
  <c r="B13" i="3"/>
  <c r="B8" i="3"/>
  <c r="E21" i="2"/>
  <c r="F21" i="2"/>
  <c r="G21" i="2"/>
  <c r="H21" i="2"/>
  <c r="D21" i="2"/>
  <c r="B21" i="2"/>
  <c r="B28" i="2" s="1"/>
  <c r="J19" i="2"/>
  <c r="J18" i="2"/>
  <c r="J17" i="2"/>
  <c r="H15" i="2"/>
  <c r="G15" i="2"/>
  <c r="F15" i="2"/>
  <c r="F22" i="2" s="1"/>
  <c r="F23" i="2" s="1"/>
  <c r="E15" i="2"/>
  <c r="D15" i="2"/>
  <c r="J13" i="2"/>
  <c r="H11" i="2"/>
  <c r="G11" i="2"/>
  <c r="F11" i="2"/>
  <c r="E11" i="2"/>
  <c r="D11" i="2"/>
  <c r="B11" i="2"/>
  <c r="J10" i="2"/>
  <c r="J9" i="2"/>
  <c r="J8" i="2"/>
  <c r="J6" i="2"/>
  <c r="B6" i="2"/>
  <c r="D22" i="2" l="1"/>
  <c r="D23" i="2" s="1"/>
  <c r="B17" i="3"/>
  <c r="B23" i="3" s="1"/>
  <c r="B26" i="3" s="1"/>
  <c r="B28" i="3" s="1"/>
  <c r="B35" i="3" s="1"/>
  <c r="H8" i="3"/>
  <c r="H13" i="3"/>
  <c r="H17" i="3" s="1"/>
  <c r="H23" i="3" s="1"/>
  <c r="H26" i="3" s="1"/>
  <c r="H28" i="3" s="1"/>
  <c r="H35" i="3" s="1"/>
  <c r="J11" i="2"/>
  <c r="H22" i="2"/>
  <c r="H23" i="2" s="1"/>
  <c r="E22" i="2"/>
  <c r="E23" i="2" s="1"/>
  <c r="G22" i="2"/>
  <c r="G23" i="2" s="1"/>
  <c r="J21" i="2"/>
  <c r="J28" i="2" s="1"/>
  <c r="B15" i="2"/>
  <c r="B22" i="2" s="1"/>
  <c r="B27" i="2" s="1"/>
  <c r="J15" i="2"/>
  <c r="B44" i="3" l="1"/>
  <c r="B46" i="3" s="1"/>
  <c r="B47" i="3" s="1"/>
  <c r="B25" i="3" s="1"/>
  <c r="J23" i="2"/>
  <c r="J22" i="2"/>
  <c r="J27" i="2" s="1"/>
  <c r="J31" i="2" s="1"/>
  <c r="J33" i="2" s="1"/>
  <c r="B23" i="2"/>
  <c r="B31" i="2"/>
  <c r="B33" i="2" s="1"/>
  <c r="H38" i="3" l="1"/>
  <c r="H44" i="3"/>
  <c r="H46" i="3" s="1"/>
  <c r="H47" i="3" s="1"/>
  <c r="H25" i="3" s="1"/>
  <c r="B38" i="3" l="1"/>
  <c r="R13" i="12"/>
</calcChain>
</file>

<file path=xl/sharedStrings.xml><?xml version="1.0" encoding="utf-8"?>
<sst xmlns="http://schemas.openxmlformats.org/spreadsheetml/2006/main" count="767" uniqueCount="259">
  <si>
    <t>Fee Revenue</t>
  </si>
  <si>
    <t>Pass through revenue</t>
  </si>
  <si>
    <t>Total Revenue</t>
  </si>
  <si>
    <t>Cost of Services</t>
  </si>
  <si>
    <t>Operating, Administrative and other</t>
  </si>
  <si>
    <t>D&amp;A</t>
  </si>
  <si>
    <t>Total costs and expenses</t>
  </si>
  <si>
    <t>Gain on disposition of real estate</t>
  </si>
  <si>
    <t>Operating income</t>
  </si>
  <si>
    <t>Equity from unconsolidated</t>
  </si>
  <si>
    <t>Other income</t>
  </si>
  <si>
    <t>Interest income</t>
  </si>
  <si>
    <t>Interest expense</t>
  </si>
  <si>
    <t>Profit before tax</t>
  </si>
  <si>
    <t>Taxes</t>
  </si>
  <si>
    <t>Net Income</t>
  </si>
  <si>
    <t>Non-controlling</t>
  </si>
  <si>
    <t>Adjusted EBITDA</t>
  </si>
  <si>
    <t>EBITDA</t>
  </si>
  <si>
    <t>Americas</t>
  </si>
  <si>
    <t>EMEA</t>
  </si>
  <si>
    <t>Global Investors</t>
  </si>
  <si>
    <t>Asia Pacific</t>
  </si>
  <si>
    <t>Consolidated</t>
  </si>
  <si>
    <t>Add D&amp;A</t>
  </si>
  <si>
    <t>Segments</t>
  </si>
  <si>
    <t>Adjustments</t>
  </si>
  <si>
    <t>Sales</t>
  </si>
  <si>
    <t>Leasing</t>
  </si>
  <si>
    <t>Other</t>
  </si>
  <si>
    <t>Devp. Services</t>
  </si>
  <si>
    <t>Valuation</t>
  </si>
  <si>
    <t>Carried Interest</t>
  </si>
  <si>
    <t>Q2 2017</t>
  </si>
  <si>
    <t>Q1 2017</t>
  </si>
  <si>
    <t>Q4 2016</t>
  </si>
  <si>
    <t>Q3 2016</t>
  </si>
  <si>
    <t>Q2 2016</t>
  </si>
  <si>
    <t>Q1 2016</t>
  </si>
  <si>
    <t>Q1 2015</t>
  </si>
  <si>
    <t>Q4 2015</t>
  </si>
  <si>
    <t>Q3 2015</t>
  </si>
  <si>
    <t>Q2 2015</t>
  </si>
  <si>
    <t>Q1 2014</t>
  </si>
  <si>
    <t>Q4 2014</t>
  </si>
  <si>
    <t>Q3 2014</t>
  </si>
  <si>
    <t>Q2 2014</t>
  </si>
  <si>
    <t>Global Investors AUM</t>
  </si>
  <si>
    <t>Reconciliation to GAAP Net Income</t>
  </si>
  <si>
    <t>Pass through costs also recognized as revenue</t>
  </si>
  <si>
    <t>Pro-forma Revenue</t>
  </si>
  <si>
    <t xml:space="preserve">Adjustments to </t>
  </si>
  <si>
    <t>Q3 2017</t>
  </si>
  <si>
    <t>Receivables, net</t>
  </si>
  <si>
    <t>Total Assets</t>
  </si>
  <si>
    <t>Total Liabilities</t>
  </si>
  <si>
    <t>Green Tabs</t>
  </si>
  <si>
    <t>I propose we include these schedules as a replacement for current schedules within the press release</t>
  </si>
  <si>
    <t>Red numbers</t>
  </si>
  <si>
    <t>Blue Tabs</t>
  </si>
  <si>
    <t>I propose we provide this detail as an Excel file, released at the same time as our press release</t>
  </si>
  <si>
    <t>Yellow highlights</t>
  </si>
  <si>
    <t>Figures available, but we have not yet pulled these as part of the draft analysis</t>
  </si>
  <si>
    <t>Public company examples</t>
  </si>
  <si>
    <t>Accenture</t>
  </si>
  <si>
    <t>Microsoft</t>
  </si>
  <si>
    <t>Netflix</t>
  </si>
  <si>
    <t>AT&amp;T</t>
  </si>
  <si>
    <t>https://investors.att.com/financial-reports/quarterly-earnings/2017</t>
  </si>
  <si>
    <t>https://www.microsoft.com/en-us/Investor/earnings/FY-2017-Q4/press-release-webcast</t>
  </si>
  <si>
    <t>https://ir.netflix.com/results.cfm</t>
  </si>
  <si>
    <t>http://investor.accenture.com/~/media/Files/A/Accenture-IR/investor-toolkit/accenture-supporting-materials-q3fy17.pdf</t>
  </si>
  <si>
    <t>Cognizant</t>
  </si>
  <si>
    <t>http://apps.indigotools.com/IR/IAC/?Ticker=CTSH&amp;Exchange=NASDAQGS</t>
  </si>
  <si>
    <t>BNY Mellon</t>
  </si>
  <si>
    <t>https://www.bnymellon.com/us/en/investor-relations/financial-reports.jsp</t>
  </si>
  <si>
    <t>http://apps.indigotools.com/IR/IAC/?Ticker=BA&amp;Exchange=NYSE</t>
  </si>
  <si>
    <t>Boeing</t>
  </si>
  <si>
    <t>Verizon</t>
  </si>
  <si>
    <t>http://www.verizon.com/about/investors/quarterly-reports/2q-2017-quarter-earnings-conference-call-webcast</t>
  </si>
  <si>
    <t>These numbers have not been specifically disclosed. Most often this represents segment detail we have only disclosed at a consolidated level</t>
  </si>
  <si>
    <t>This detail may or may not be required re: reconciling to GAAP net income</t>
  </si>
  <si>
    <t>Note: This would replace current Segment Results tables. We would need four tables (Current quarter, prior year quarter, current YTD, prior YTD)</t>
  </si>
  <si>
    <t>Where I need help</t>
  </si>
  <si>
    <t>Populating the proposed tables with accurate data from accounting</t>
  </si>
  <si>
    <t>Formatting new tables into current press release and earnings PDF</t>
  </si>
  <si>
    <t>Adding appropriate footnotes and definitions to all schedules, as required</t>
  </si>
  <si>
    <t>Additional topics to discuss</t>
  </si>
  <si>
    <t xml:space="preserve">How will revenue recognition changes affect this disclosure? </t>
  </si>
  <si>
    <t xml:space="preserve">How would changes in overhead allocation affect this disclosure? </t>
  </si>
  <si>
    <t xml:space="preserve">Separate loan servicing from commercial mortgage services - footnote that loan servicing doesn't include OMSR income </t>
  </si>
  <si>
    <t xml:space="preserve">Should we include an "Adjusted Operating Income" line that adds equity income, noncontrolling, and other income to the current definition of GAAP operating income? </t>
  </si>
  <si>
    <t xml:space="preserve">How easy will this be to update going forward? How frequently should we provide it? </t>
  </si>
  <si>
    <t xml:space="preserve">Can we provide GI AUM on a local FX basis? </t>
  </si>
  <si>
    <t>Loan Servicing</t>
  </si>
  <si>
    <t>Depreciation &amp; Amortization</t>
  </si>
  <si>
    <t>Non-Controlling Interests</t>
  </si>
  <si>
    <t xml:space="preserve"> </t>
  </si>
  <si>
    <t>Adjustments To EBITDA</t>
  </si>
  <si>
    <t>(A)</t>
  </si>
  <si>
    <t>(A) In the third quarter of 2015, we elected to early adopt the provisions of Accounting Standards Update (ASU) 2015-03, "Interest - Imputation of Interest (Subtopic 835-30): Simplifying the Presentation of Debt Issuance Costs." This ASU required that debt issuance costs</t>
  </si>
  <si>
    <t>related to a recognized debt liability be presented in the balance sheet as a direct deduction from the carrying amount of that debt liability instead of separately being recorded in other assets. As of December 31, 2014, deferred financing costs totaling $25.6 million were</t>
  </si>
  <si>
    <t>reclassified from other assets and netted against the related debt liabilities to conform with the Q3 2017 presentation. Amounts for Q1 - Q3 2014 and Q1 - Q2 2015 have not been reclassified to conform with the presentation at Q3 2015 and forward.</t>
  </si>
  <si>
    <t>Cash and Cash Equivalents</t>
  </si>
  <si>
    <t>Restricted Cash</t>
  </si>
  <si>
    <t>Warehouse Receivables</t>
  </si>
  <si>
    <t>Property and Equipment, net</t>
  </si>
  <si>
    <t>Goodwill and Other Intangibles, net</t>
  </si>
  <si>
    <t>Investments In and Advances To Unconsolidated Subs</t>
  </si>
  <si>
    <t>Other Assets, net</t>
  </si>
  <si>
    <t>Current Liabilities, ex-debt</t>
  </si>
  <si>
    <t>Revolving Credit Facility</t>
  </si>
  <si>
    <t>Senior Term Loans, net</t>
  </si>
  <si>
    <t>Senior Notes, net</t>
  </si>
  <si>
    <t>Other Debt</t>
  </si>
  <si>
    <t>Other Long-term Liabilities</t>
  </si>
  <si>
    <t>CBRE Group, Inc. Stockholders' Equity</t>
  </si>
  <si>
    <t>(1) Pro-forma revenue is revenue plus equity income from unconsolidated subsidiaries and gain on disposition of real estate, net of non-controlling interest.  We believe that investors may find this measure useful to analyze the financial performance of our Development Services segment because it is more reflective of its total operations.</t>
  </si>
  <si>
    <t>(1) Pipeline deals are projects we are pursuing which we believe have a greater than 50% chance of closing or where land has been acquired and the projected construction start is more than 12 months out.</t>
  </si>
  <si>
    <t>(2) In Process figures include Long-Term Operating Assets (LTOA). LTOA are projects that have achieved a stabilized level of occupancy or have been held 18-24 months following shell completion or acquisition.</t>
  </si>
  <si>
    <t>(1) Calculation of tax rate adjusts profit before taxes to remove the portion attributable to non-controlling interests as noted below:</t>
  </si>
  <si>
    <t>Profit Before Taxes</t>
  </si>
  <si>
    <t>Taxes (A)</t>
  </si>
  <si>
    <t>Profit Before Taxes, excluding non-controlling interests (B)</t>
  </si>
  <si>
    <t>Effective Tax Rate (A/B)</t>
  </si>
  <si>
    <t>General Note: Due to rounding, numbers presented throughout this document may not add up precisely to the totals provided and percentages may not precisely reflect the absolute figures.</t>
  </si>
  <si>
    <t xml:space="preserve">General Notes: </t>
  </si>
  <si>
    <t>Due to rounding, numbers presented throughout this document may not add up precisely to the totals provided and percentages may not precisely reflect the absolute figures.</t>
  </si>
  <si>
    <t>Non-GAAP Financial Measures</t>
  </si>
  <si>
    <t>The following measures are considered “non-GAAP financial measures” under SEC guidelines:</t>
  </si>
  <si>
    <t> </t>
  </si>
  <si>
    <t>(i)</t>
  </si>
  <si>
    <t>Fee revenue</t>
  </si>
  <si>
    <t>(ii)</t>
  </si>
  <si>
    <t>Net income attributable to CBRE Group, Inc., as adjusted (which we also refer to as “adjusted net income”)</t>
  </si>
  <si>
    <t>(iii)</t>
  </si>
  <si>
    <t>Diluted income per share attributable to CBRE Group, Inc. shareholders, as adjusted (which we also refer to as “adjusted earnings per share” or “adjusted EPS”)</t>
  </si>
  <si>
    <t>(iv)</t>
  </si>
  <si>
    <t>EBITDA and adjusted EBITDA</t>
  </si>
  <si>
    <t>These measures are not recognized measurements under United States generally accepted accounting principles, or “GAAP.”  When analyzing our operating performance, investors should use them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</si>
  <si>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Our management generally uses these non-GAAP financial measures to evaluate operating performance and for other discretionary purposes.  The company believes that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</si>
  <si>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With respect to fee revenue:  the company believes that investors may find this measure useful to analyze the financial performance of our Occupier Outsourcing and Property Management business lines and our business generally.   Fee revenue excludes costs reimbursable by clients, and as such provides greater visibility into the underlying performance of our business.</t>
  </si>
  <si>
    <t>With respect to adjusted net income, adjusted EPS, EBITDA and adjusted EBITDA: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EBITDA and adjusted EBITDA—the effects of financings and income tax and the accounting effects of capital spending.  All of these measures may vary for different companies for reasons unrelated to overall operating performance.  In the case of EBITDA and adjusted EBITDA, these measures are not intended to be measures of free cash flow for our management’s discretionary use because they do not consider cash requirements such as tax and debt service payments.  The EBITDA and adjusted EBITDA measures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and making certain restricted payments.  The company also uses adjusted EBITDA and adjusted EPS as significant components when measuring our operating performance under our employee incentive compensation programs.</t>
  </si>
  <si>
    <t>GAAP                           Consolidated</t>
  </si>
  <si>
    <t>Adjusted Consolidated</t>
  </si>
  <si>
    <t>Operating Results</t>
  </si>
  <si>
    <t>Adjustments:</t>
  </si>
  <si>
    <t>Operating income (loss)</t>
  </si>
  <si>
    <t xml:space="preserve">Depreciation and amortization </t>
  </si>
  <si>
    <t xml:space="preserve">Operating, administrative
   and other </t>
  </si>
  <si>
    <t xml:space="preserve">Cost of services </t>
  </si>
  <si>
    <t xml:space="preserve">Costs and expenses: </t>
  </si>
  <si>
    <t>Total revenue</t>
  </si>
  <si>
    <t>Pass through costs also
   recognized as revenue</t>
  </si>
  <si>
    <t>Revenue:</t>
  </si>
  <si>
    <t>Services</t>
  </si>
  <si>
    <t>Management</t>
  </si>
  <si>
    <t>Development</t>
  </si>
  <si>
    <t>Investment</t>
  </si>
  <si>
    <t>Global</t>
  </si>
  <si>
    <t>Other income (expense)</t>
  </si>
  <si>
    <t>Range Name:  Segment_3mo_CY</t>
  </si>
  <si>
    <t>Segment Results - 3 Mos Current Yr</t>
  </si>
  <si>
    <t>(1) Adjustments include certain carried interest compensation expense (reversal) to align with the timing of associated revenue, integration and other costs related to acquisitions and cost-elimination expenses.</t>
  </si>
  <si>
    <t>Less: Net income attributable to non-controlling interests</t>
  </si>
  <si>
    <t>Add:</t>
  </si>
  <si>
    <t>In 2017, we changed the presentation of the operating results of one of our emerging businesses among our regional services reporting segments. Prior year amounts for 2015 and 2016 have been reclassified to conform with the current-year presentation. This change had no impact on our consolidated results. Additionally, certain adjustments have been made to 2016 fee revenue to conform with the current-year presentation.</t>
  </si>
  <si>
    <t>Cost of services</t>
  </si>
  <si>
    <t>Operating, administrative and other</t>
  </si>
  <si>
    <t>Depreciation and amortization</t>
  </si>
  <si>
    <t>Equity income from unconsolidated subsidiaries</t>
  </si>
  <si>
    <t>Income before provision for income taxes</t>
  </si>
  <si>
    <t>Provision for income taxes</t>
  </si>
  <si>
    <t>Net income</t>
  </si>
  <si>
    <t xml:space="preserve">Net income attributable to CBRE Group, Inc. </t>
  </si>
  <si>
    <t>Less: Interest income</t>
  </si>
  <si>
    <t>Weighted avg. shares outstanding for diluted EPS</t>
  </si>
  <si>
    <t>Diluted EPS attributed to CBRE Group, Inc.</t>
  </si>
  <si>
    <t>Add-back: Depreciation and amortization</t>
  </si>
  <si>
    <t>Carried interest incentive compensation expense
   to align with the timing of associated revenue</t>
  </si>
  <si>
    <t>Less: Net income (loss) attributable to non-controlling interests</t>
  </si>
  <si>
    <t>Adjusted EBITDA margin (fee revenue)</t>
  </si>
  <si>
    <t>Pro-forma revenue</t>
  </si>
  <si>
    <t>Adjusted EBITDA margin (pro-forma revenue)</t>
  </si>
  <si>
    <t>Occupier outsourcing</t>
  </si>
  <si>
    <t>Property management</t>
  </si>
  <si>
    <t>Loan servicing</t>
  </si>
  <si>
    <t>Commercial mortgage origination</t>
  </si>
  <si>
    <t>Total fee revenue</t>
  </si>
  <si>
    <t>Asset management</t>
  </si>
  <si>
    <t>Acquisition, disposition, incentive &amp; other</t>
  </si>
  <si>
    <t>Carried interest</t>
  </si>
  <si>
    <t>Write-off of financing costs</t>
  </si>
  <si>
    <t xml:space="preserve">Adjustments to net income attributable to CBRE Group, Inc. </t>
  </si>
  <si>
    <t>Adjustments to diluted EPS attributed to CBRE Group, Inc.</t>
  </si>
  <si>
    <t>Other income (loss)</t>
  </si>
  <si>
    <t>Equity income from unconsolidated entities</t>
  </si>
  <si>
    <t xml:space="preserve">Less: </t>
  </si>
  <si>
    <t>Non-controlling interest</t>
  </si>
  <si>
    <t>Less:</t>
  </si>
  <si>
    <t>Net income attributable to CBRE Group, Inc.</t>
  </si>
  <si>
    <t xml:space="preserve">     Depreciation and amortization</t>
  </si>
  <si>
    <t xml:space="preserve">     Interest expense</t>
  </si>
  <si>
    <t xml:space="preserve">     Provision for income taxes</t>
  </si>
  <si>
    <t xml:space="preserve">     Interest income</t>
  </si>
  <si>
    <t xml:space="preserve">     Carried interest incentive compensation expense (reversal)</t>
  </si>
  <si>
    <t xml:space="preserve">        to align with the timing of associated revenue</t>
  </si>
  <si>
    <t>($ in millions)</t>
  </si>
  <si>
    <t xml:space="preserve">Reconciliation of net income to adjusted EBITDA </t>
  </si>
  <si>
    <r>
      <t xml:space="preserve">Warehouse Lines of Credit                                                    </t>
    </r>
    <r>
      <rPr>
        <sz val="8"/>
        <color theme="1"/>
        <rFont val="Arial"/>
        <family val="2"/>
      </rPr>
      <t>(which fund loans that U.S. Government Sponsored Entities have committed to purchase)</t>
    </r>
  </si>
  <si>
    <t>EQUITY</t>
  </si>
  <si>
    <t>TOTAL EQUITY</t>
  </si>
  <si>
    <t>TOTAL LIABILITIES AND EQUITY</t>
  </si>
  <si>
    <t>LIABILITIES</t>
  </si>
  <si>
    <t>ASSETS</t>
  </si>
  <si>
    <t>($ in millions, except share data)</t>
  </si>
  <si>
    <r>
      <t xml:space="preserve">Tax rate </t>
    </r>
    <r>
      <rPr>
        <sz val="8"/>
        <color theme="1"/>
        <rFont val="Arial"/>
        <family val="2"/>
      </rPr>
      <t>(1)</t>
    </r>
  </si>
  <si>
    <t>($ in billions)</t>
  </si>
  <si>
    <r>
      <t xml:space="preserve">Development Services Pipeline </t>
    </r>
    <r>
      <rPr>
        <b/>
        <sz val="8"/>
        <color theme="1"/>
        <rFont val="Arial"/>
        <family val="2"/>
      </rPr>
      <t>(1)</t>
    </r>
  </si>
  <si>
    <r>
      <t xml:space="preserve">Development Services In Process </t>
    </r>
    <r>
      <rPr>
        <b/>
        <sz val="8"/>
        <color theme="1"/>
        <rFont val="Arial"/>
        <family val="2"/>
      </rPr>
      <t>(2)</t>
    </r>
  </si>
  <si>
    <t>Segment Results</t>
  </si>
  <si>
    <t xml:space="preserve">     Integration and other costs related to acquisitions</t>
  </si>
  <si>
    <t xml:space="preserve">     Cost-elimination expenses</t>
  </si>
  <si>
    <t xml:space="preserve">     Write-off of financing costs</t>
  </si>
  <si>
    <r>
      <t xml:space="preserve">Adjustments </t>
    </r>
    <r>
      <rPr>
        <sz val="8"/>
        <color theme="1"/>
        <rFont val="Arial"/>
        <family val="2"/>
      </rPr>
      <t>(1)</t>
    </r>
  </si>
  <si>
    <r>
      <t xml:space="preserve">Pro-forma revenue </t>
    </r>
    <r>
      <rPr>
        <sz val="8"/>
        <color theme="1"/>
        <rFont val="Arial"/>
        <family val="2"/>
      </rPr>
      <t>(1)</t>
    </r>
  </si>
  <si>
    <t>CBRE SEGMENT TOTAL</t>
  </si>
  <si>
    <t>AMERICAS</t>
  </si>
  <si>
    <t>ASIA PACIFIC</t>
  </si>
  <si>
    <t>INVESTMENT MANAGEMENT</t>
  </si>
  <si>
    <t>DEVELOPMENT SERVICES</t>
  </si>
  <si>
    <t>Segment EBITDA Detail History</t>
  </si>
  <si>
    <t>Segment Revenue Detail History</t>
  </si>
  <si>
    <t>GLOBAL INVESTMENT MANAGEMENT</t>
  </si>
  <si>
    <t>AMERICAS (LOCAL CURRENCY)</t>
  </si>
  <si>
    <t>AMERICAS (US DOLLAR)</t>
  </si>
  <si>
    <t>EMEA (LOCAL CURRENCY)</t>
  </si>
  <si>
    <t>EMEA (US DOLLAR)</t>
  </si>
  <si>
    <t>ASIA PACIFIC (LOCAL CURRENCY)</t>
  </si>
  <si>
    <t>ASIA PACIFIC (US DOLLAR)</t>
  </si>
  <si>
    <t>GLOBAL INVESTMENT MANAGEMENT (LOCAL CURRENCY)</t>
  </si>
  <si>
    <t>GLOBAL INVESTMENT MANAGEMENT (US DOLLAR)</t>
  </si>
  <si>
    <t>DEVELOPMENT SERVICES (US DOLLAR)</t>
  </si>
  <si>
    <t>GAAP CONSOLIDATED INCOME STATEMENT</t>
  </si>
  <si>
    <r>
      <t xml:space="preserve">ADJUSTMENTS TO GAAP CONSOLIDATED </t>
    </r>
    <r>
      <rPr>
        <b/>
        <sz val="8"/>
        <color theme="1"/>
        <rFont val="Arial"/>
        <family val="2"/>
      </rPr>
      <t>(2)</t>
    </r>
  </si>
  <si>
    <t>ADJUSTED CONSOLIDATED INCOME STATEMENT</t>
  </si>
  <si>
    <t>ADJUSTMENTS TO GAAP CONSOLIDATED</t>
  </si>
  <si>
    <t>Balance Sheet History</t>
  </si>
  <si>
    <t>Income Statement History</t>
  </si>
  <si>
    <t>Investment Segments Detail</t>
  </si>
  <si>
    <t>Less: Net income attributable to   
   non-controlling interests</t>
  </si>
  <si>
    <t>DEVELOPMENT SERVICES (LOCAL CURRENCY)</t>
  </si>
  <si>
    <t>Adjusted net income attributable to CBRE Group, Inc.</t>
  </si>
  <si>
    <t>Local currency percent changes are non-GAAP measures.  These percent changes are calculated by comparing current year quarter results at prior year quarter exchange rates versus prior year quarter results. For example, Q1 2015 compares to Q1 2014 results at Q1 2014 exchange rates; Q1 2016 compares to Q1 2015</t>
  </si>
  <si>
    <t>results at Q1 2015 exchange rates; etc.</t>
  </si>
  <si>
    <t>For The Three Months Ended December 31, 2017</t>
  </si>
  <si>
    <t>Q4 2017</t>
  </si>
  <si>
    <t>Other (loss) income</t>
  </si>
  <si>
    <t>(2) Adjustments include non-cash amortization expense related to certain intangible assets attributable to acquisitions, certain carried interest compensation expense (reversal) to align with the timing of associated revenue, integration and other costs related to acquisitions and cost-elimination expenses, as well as the associated impact to provision for income taxes for these charges.  For Q4 2017 and FY 2017 also includes removal of tax impact associated with U.S. tax reform.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</si>
</sst>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4" formatCode="_(&quot;$&quot;* #,##0.00_);_(&quot;$&quot;* \(#,##0.00\);_(&quot;$&quot;* &quot;-&quot;??_);_(@_)"/>
    <numFmt numFmtId="43" formatCode="_(* #,##0.00_);_(* \(#,##0.00\);_(* &quot;-&quot;??_);_(@_)"/>
    <numFmt numFmtId="164" formatCode="#,##0.0"/>
    <numFmt numFmtId="165" formatCode="0.0%"/>
    <numFmt numFmtId="166" formatCode="_(* #,##0.0_);_(* \(#,##0.0\);_(* &quot;-&quot;??_);_(@_)"/>
    <numFmt numFmtId="167" formatCode="0.0"/>
    <numFmt numFmtId="168" formatCode="_(* #,##0.0_);_(* \(#,##0.0\);_(* &quot;-&quot;?_);_(@_)"/>
    <numFmt numFmtId="169" formatCode="_(* #,##0_);_(* \(#,##0\);_(* &quot;-&quot;??_);_(@_)"/>
    <numFmt numFmtId="170" formatCode="_(&quot;$&quot;* #,##0_);_(&quot;$&quot;* \(#,##0\);_(&quot;$&quot;* &quot;-&quot;??_);_(@_)"/>
    <numFmt numFmtId="171" formatCode="_(&quot;$&quot;* #,##0.0_);_(&quot;$&quot;* \(#,##0.0\);_(&quot;$&quot;* &quot;-&quot;?_);_(@_)"/>
    <numFmt numFmtId="172" formatCode="_(&quot;$&quot;* #,##0.0_);_(&quot;$&quot;* \(#,##0.0\);_(&quot;$&quot;* &quot;-&quot;??_);_(@_)"/>
    <numFmt numFmtId="173" formatCode="_(* #,##0.0_);_(* \(#,##0.0\);_(* &quot;-&quot;_);_(@_)"/>
  </numFmts>
  <fonts count="39">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color theme="1"/>
      <name val="Calibri"/>
      <family val="2"/>
      <scheme val="minor"/>
    </font>
    <font>
      <sz val="11"/>
      <name val="Calibri"/>
      <family val="2"/>
      <scheme val="minor"/>
    </font>
    <font>
      <u/>
      <sz val="11"/>
      <color theme="10"/>
      <name val="Calibri"/>
      <family val="2"/>
      <scheme val="minor"/>
    </font>
    <font>
      <sz val="7.5"/>
      <color rgb="FF7F7F7F"/>
      <name val="Arial"/>
      <family val="2"/>
    </font>
    <font>
      <sz val="7.5"/>
      <color rgb="FF7F7F7F"/>
      <name val="+Mj-Lt"/>
      <charset val="1"/>
    </font>
    <font>
      <sz val="10"/>
      <color rgb="FF000000"/>
      <name val="Times New Roman"/>
      <family val="1"/>
    </font>
    <font>
      <sz val="10"/>
      <color theme="1"/>
      <name val="Times New Roman"/>
      <family val="1"/>
    </font>
    <font>
      <sz val="8"/>
      <color theme="1"/>
      <name val="Times New Roman"/>
      <family val="1"/>
    </font>
    <font>
      <b/>
      <sz val="8"/>
      <color theme="1"/>
      <name val="Times New Roman"/>
      <family val="1"/>
    </font>
    <font>
      <b/>
      <sz val="10"/>
      <color theme="0"/>
      <name val="Times New Roman"/>
      <family val="1"/>
    </font>
    <font>
      <sz val="11"/>
      <color theme="1"/>
      <name val="Arial"/>
      <family val="2"/>
    </font>
    <font>
      <b/>
      <sz val="11"/>
      <color theme="1"/>
      <name val="Arial"/>
      <family val="2"/>
    </font>
    <font>
      <b/>
      <i/>
      <sz val="11"/>
      <color theme="1"/>
      <name val="Arial"/>
      <family val="2"/>
    </font>
    <font>
      <sz val="11"/>
      <name val="Arial"/>
      <family val="2"/>
    </font>
    <font>
      <sz val="11"/>
      <color rgb="FFFF0000"/>
      <name val="Arial"/>
      <family val="2"/>
    </font>
    <font>
      <sz val="8"/>
      <color theme="1"/>
      <name val="Arial"/>
      <family val="2"/>
    </font>
    <font>
      <b/>
      <sz val="11"/>
      <name val="Arial"/>
      <family val="2"/>
    </font>
    <font>
      <i/>
      <sz val="8"/>
      <color rgb="FF333333"/>
      <name val="Arial"/>
      <family val="2"/>
    </font>
    <font>
      <i/>
      <sz val="11"/>
      <color theme="1"/>
      <name val="Arial"/>
      <family val="2"/>
    </font>
    <font>
      <i/>
      <sz val="8"/>
      <color theme="1"/>
      <name val="Arial"/>
      <family val="2"/>
    </font>
    <font>
      <sz val="10"/>
      <color rgb="FF000000"/>
      <name val="Arial"/>
      <family val="2"/>
    </font>
    <font>
      <b/>
      <sz val="11"/>
      <color theme="0"/>
      <name val="Arial"/>
      <family val="2"/>
    </font>
    <font>
      <sz val="8"/>
      <name val="Arial"/>
      <family val="2"/>
    </font>
    <font>
      <b/>
      <sz val="8"/>
      <color theme="1"/>
      <name val="Arial"/>
      <family val="2"/>
    </font>
    <font>
      <b/>
      <sz val="10"/>
      <color theme="0"/>
      <name val="Arial"/>
      <family val="2"/>
    </font>
    <font>
      <sz val="10"/>
      <color theme="1"/>
      <name val="Arial"/>
      <family val="2"/>
    </font>
    <font>
      <b/>
      <u/>
      <sz val="10"/>
      <color theme="1"/>
      <name val="Arial"/>
      <family val="2"/>
    </font>
    <font>
      <sz val="11"/>
      <color rgb="FF000000"/>
      <name val="Arial"/>
      <family val="2"/>
    </font>
    <font>
      <i/>
      <sz val="11"/>
      <name val="Arial"/>
      <family val="2"/>
    </font>
    <font>
      <sz val="5"/>
      <color rgb="FFFF0000"/>
      <name val="Arial"/>
      <family val="2"/>
    </font>
    <font>
      <sz val="5"/>
      <name val="Arial"/>
      <family val="2"/>
    </font>
    <font>
      <sz val="11"/>
      <color theme="0"/>
      <name val="Arial"/>
      <family val="2"/>
    </font>
    <font>
      <b/>
      <sz val="10"/>
      <name val="Arial"/>
      <family val="2"/>
    </font>
    <font>
      <sz val="10"/>
      <name val="Times New Roman"/>
      <family val="1"/>
    </font>
    <font>
      <i/>
      <sz val="8"/>
      <name val="Arial"/>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theme="9"/>
        <bgColor indexed="64"/>
      </patternFill>
    </fill>
    <fill>
      <patternFill patternType="solid">
        <fgColor rgb="FFFFFFFF"/>
        <bgColor indexed="64"/>
      </patternFill>
    </fill>
    <fill>
      <patternFill patternType="solid">
        <fgColor rgb="FF006A4D"/>
        <bgColor indexed="64"/>
      </patternFill>
    </fill>
    <fill>
      <patternFill patternType="solid">
        <fgColor rgb="FFBFBFBF"/>
        <bgColor indexed="64"/>
      </patternFill>
    </fill>
    <fill>
      <patternFill patternType="solid">
        <fgColor theme="0" tint="-0.249977111117893"/>
        <bgColor indexed="64"/>
      </patternFill>
    </fill>
  </fills>
  <borders count="13">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bottom style="double">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s>
  <cellStyleXfs count="5">
    <xf numFmtId="0" fontId="0" fillId="0" borderId="0"/>
    <xf numFmtId="43" fontId="4" fillId="0" borderId="0" applyFont="0" applyFill="0" applyBorder="0" applyAlignment="0" applyProtection="0"/>
    <xf numFmtId="0" fontId="6" fillId="0" borderId="0" applyNumberForma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507">
    <xf numFmtId="0" fontId="0" fillId="0" borderId="0" xfId="0"/>
    <xf numFmtId="0" fontId="2" fillId="2" borderId="0" xfId="0" applyFont="1" applyFill="1"/>
    <xf numFmtId="0" fontId="0" fillId="2" borderId="0" xfId="0" applyFill="1"/>
    <xf numFmtId="0" fontId="2" fillId="2" borderId="0" xfId="0" applyFont="1" applyFill="1" applyAlignment="1">
      <alignment horizontal="center"/>
    </xf>
    <xf numFmtId="164" fontId="0" fillId="2" borderId="0" xfId="0" applyNumberFormat="1" applyFill="1" applyAlignment="1">
      <alignment horizontal="center"/>
    </xf>
    <xf numFmtId="0" fontId="0" fillId="2" borderId="0" xfId="0" applyFill="1" applyAlignment="1">
      <alignment horizontal="center"/>
    </xf>
    <xf numFmtId="164" fontId="1" fillId="2" borderId="0" xfId="0" applyNumberFormat="1" applyFont="1" applyFill="1" applyAlignment="1">
      <alignment horizontal="center"/>
    </xf>
    <xf numFmtId="0" fontId="0" fillId="2" borderId="0" xfId="0" applyFill="1" applyAlignment="1">
      <alignment horizontal="right"/>
    </xf>
    <xf numFmtId="164" fontId="0" fillId="2" borderId="0" xfId="0" applyNumberFormat="1" applyFill="1"/>
    <xf numFmtId="0" fontId="2" fillId="2" borderId="0" xfId="0" applyFont="1" applyFill="1" applyBorder="1"/>
    <xf numFmtId="14" fontId="2" fillId="2" borderId="1" xfId="0" applyNumberFormat="1" applyFont="1" applyFill="1" applyBorder="1"/>
    <xf numFmtId="0" fontId="2" fillId="2" borderId="1" xfId="0" applyFont="1" applyFill="1" applyBorder="1" applyAlignment="1">
      <alignment horizontal="center"/>
    </xf>
    <xf numFmtId="0" fontId="2" fillId="2" borderId="1" xfId="0" applyFont="1" applyFill="1" applyBorder="1" applyAlignment="1"/>
    <xf numFmtId="0" fontId="0" fillId="2" borderId="0" xfId="0" applyFill="1" applyBorder="1"/>
    <xf numFmtId="0" fontId="0" fillId="2" borderId="0" xfId="0" applyFill="1" applyBorder="1" applyAlignment="1">
      <alignment horizontal="center"/>
    </xf>
    <xf numFmtId="0" fontId="2" fillId="3" borderId="0" xfId="0" applyFont="1" applyFill="1"/>
    <xf numFmtId="164" fontId="2" fillId="3" borderId="0" xfId="0" applyNumberFormat="1" applyFont="1" applyFill="1" applyAlignment="1">
      <alignment horizontal="center"/>
    </xf>
    <xf numFmtId="0" fontId="2" fillId="3" borderId="0" xfId="0" applyFont="1" applyFill="1" applyAlignment="1">
      <alignment horizontal="center"/>
    </xf>
    <xf numFmtId="164" fontId="3" fillId="3" borderId="0" xfId="0" applyNumberFormat="1" applyFont="1" applyFill="1" applyAlignment="1">
      <alignment horizontal="center"/>
    </xf>
    <xf numFmtId="0" fontId="0" fillId="2" borderId="1" xfId="0" applyFill="1" applyBorder="1"/>
    <xf numFmtId="2" fontId="0" fillId="2" borderId="0" xfId="0" applyNumberFormat="1" applyFill="1" applyBorder="1"/>
    <xf numFmtId="0" fontId="2" fillId="2" borderId="2" xfId="0" applyFont="1" applyFill="1" applyBorder="1"/>
    <xf numFmtId="164" fontId="2" fillId="2" borderId="2" xfId="0" applyNumberFormat="1"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xf numFmtId="0" fontId="0" fillId="2" borderId="3" xfId="0" applyFill="1" applyBorder="1"/>
    <xf numFmtId="0" fontId="0" fillId="2" borderId="0" xfId="0" applyFill="1" applyBorder="1" applyAlignment="1">
      <alignment horizontal="right"/>
    </xf>
    <xf numFmtId="0" fontId="0" fillId="2" borderId="0" xfId="0" applyFont="1" applyFill="1" applyAlignment="1">
      <alignment horizontal="right"/>
    </xf>
    <xf numFmtId="166" fontId="0" fillId="2" borderId="0" xfId="1" applyNumberFormat="1" applyFont="1" applyFill="1"/>
    <xf numFmtId="0" fontId="1" fillId="2" borderId="0" xfId="0" applyFont="1" applyFill="1" applyAlignment="1">
      <alignment horizontal="right"/>
    </xf>
    <xf numFmtId="0" fontId="5" fillId="2" borderId="0" xfId="0" applyFont="1" applyFill="1"/>
    <xf numFmtId="0" fontId="5" fillId="2" borderId="0" xfId="0" applyFont="1" applyFill="1" applyBorder="1"/>
    <xf numFmtId="0" fontId="5" fillId="2" borderId="0" xfId="0" applyFont="1" applyFill="1" applyAlignment="1">
      <alignment horizontal="center"/>
    </xf>
    <xf numFmtId="0" fontId="0" fillId="5" borderId="0" xfId="0" applyFill="1" applyAlignment="1">
      <alignment horizontal="right"/>
    </xf>
    <xf numFmtId="0" fontId="0" fillId="6" borderId="0" xfId="0" applyFill="1" applyAlignment="1">
      <alignment horizontal="right"/>
    </xf>
    <xf numFmtId="0" fontId="0" fillId="4" borderId="0" xfId="0" applyFill="1" applyAlignment="1">
      <alignment horizontal="right"/>
    </xf>
    <xf numFmtId="0" fontId="6" fillId="2" borderId="0" xfId="2" applyFill="1"/>
    <xf numFmtId="0" fontId="3" fillId="2" borderId="0" xfId="0" applyFont="1" applyFill="1"/>
    <xf numFmtId="0" fontId="5" fillId="2" borderId="0" xfId="0" applyFont="1" applyFill="1" applyBorder="1" applyAlignment="1">
      <alignment horizontal="center"/>
    </xf>
    <xf numFmtId="0" fontId="0" fillId="2" borderId="0" xfId="0" applyFill="1" applyAlignment="1"/>
    <xf numFmtId="0" fontId="0" fillId="2" borderId="0" xfId="0" applyFill="1" applyBorder="1" applyAlignment="1"/>
    <xf numFmtId="169" fontId="10" fillId="0" borderId="0" xfId="1" applyNumberFormat="1" applyFont="1" applyFill="1" applyAlignment="1"/>
    <xf numFmtId="0" fontId="10" fillId="0" borderId="0" xfId="1" applyNumberFormat="1" applyFont="1" applyFill="1" applyAlignment="1"/>
    <xf numFmtId="170" fontId="10" fillId="0" borderId="0" xfId="3" applyNumberFormat="1" applyFont="1" applyFill="1" applyBorder="1" applyAlignment="1"/>
    <xf numFmtId="169" fontId="10" fillId="0" borderId="0" xfId="1" applyNumberFormat="1" applyFont="1" applyFill="1" applyBorder="1" applyAlignment="1"/>
    <xf numFmtId="169" fontId="10" fillId="0" borderId="0" xfId="1" applyNumberFormat="1" applyFont="1" applyFill="1" applyBorder="1" applyAlignment="1">
      <alignment horizontal="left"/>
    </xf>
    <xf numFmtId="169" fontId="11" fillId="0" borderId="0" xfId="1" applyNumberFormat="1" applyFont="1" applyFill="1" applyAlignment="1"/>
    <xf numFmtId="169" fontId="11" fillId="0" borderId="0" xfId="1" applyNumberFormat="1" applyFont="1" applyFill="1" applyBorder="1" applyAlignment="1"/>
    <xf numFmtId="0" fontId="11" fillId="0" borderId="0" xfId="1" applyNumberFormat="1" applyFont="1" applyFill="1" applyBorder="1" applyAlignment="1"/>
    <xf numFmtId="0" fontId="10" fillId="0" borderId="0" xfId="1" applyNumberFormat="1" applyFont="1" applyFill="1" applyBorder="1" applyAlignment="1"/>
    <xf numFmtId="169" fontId="10" fillId="0" borderId="0" xfId="1" applyNumberFormat="1" applyFont="1" applyFill="1" applyBorder="1" applyAlignment="1">
      <alignment horizontal="center"/>
    </xf>
    <xf numFmtId="169" fontId="12" fillId="0" borderId="0" xfId="1" quotePrefix="1" applyNumberFormat="1" applyFont="1" applyFill="1" applyBorder="1" applyAlignment="1">
      <alignment horizontal="center"/>
    </xf>
    <xf numFmtId="0" fontId="10" fillId="0" borderId="0" xfId="1" applyNumberFormat="1" applyFont="1" applyFill="1" applyBorder="1" applyAlignment="1">
      <alignment horizontal="left"/>
    </xf>
    <xf numFmtId="0" fontId="10" fillId="0" borderId="0" xfId="1" applyNumberFormat="1" applyFont="1" applyFill="1" applyBorder="1" applyAlignment="1">
      <alignment horizontal="left" indent="1"/>
    </xf>
    <xf numFmtId="0" fontId="10" fillId="0" borderId="0" xfId="1" applyNumberFormat="1" applyFont="1" applyFill="1" applyBorder="1" applyAlignment="1">
      <alignment horizontal="left" wrapText="1" indent="1"/>
    </xf>
    <xf numFmtId="0" fontId="10" fillId="0" borderId="0" xfId="1" applyNumberFormat="1" applyFont="1" applyFill="1" applyBorder="1" applyAlignment="1">
      <alignment horizontal="left" indent="3"/>
    </xf>
    <xf numFmtId="0" fontId="10" fillId="0" borderId="0" xfId="1" applyNumberFormat="1" applyFont="1" applyFill="1" applyBorder="1" applyAlignment="1">
      <alignment horizontal="left" wrapText="1"/>
    </xf>
    <xf numFmtId="0" fontId="10" fillId="0" borderId="0" xfId="1" applyNumberFormat="1" applyFont="1" applyFill="1" applyBorder="1" applyAlignment="1">
      <alignment wrapText="1"/>
    </xf>
    <xf numFmtId="0" fontId="13" fillId="0" borderId="0" xfId="1" applyNumberFormat="1" applyFont="1" applyFill="1" applyBorder="1" applyAlignment="1"/>
    <xf numFmtId="169" fontId="13" fillId="0" borderId="0" xfId="1" applyNumberFormat="1" applyFont="1" applyFill="1" applyBorder="1" applyAlignment="1"/>
    <xf numFmtId="169" fontId="13" fillId="0" borderId="0" xfId="1" applyNumberFormat="1" applyFont="1" applyFill="1" applyBorder="1" applyAlignment="1">
      <alignment horizontal="center"/>
    </xf>
    <xf numFmtId="0" fontId="12" fillId="0" borderId="0" xfId="0" applyFont="1" applyFill="1" applyBorder="1" applyAlignment="1">
      <alignment horizontal="center"/>
    </xf>
    <xf numFmtId="0" fontId="8" fillId="0" borderId="0" xfId="0" applyFont="1" applyBorder="1" applyAlignment="1">
      <alignment wrapText="1" readingOrder="1"/>
    </xf>
    <xf numFmtId="0" fontId="0" fillId="0" borderId="0" xfId="1" applyNumberFormat="1" applyFont="1" applyFill="1" applyAlignment="1">
      <alignment horizontal="left" vertical="top" wrapText="1"/>
    </xf>
    <xf numFmtId="0" fontId="7" fillId="0" borderId="0" xfId="0" applyFont="1" applyBorder="1" applyAlignment="1">
      <alignment wrapText="1" readingOrder="1"/>
    </xf>
    <xf numFmtId="0" fontId="0" fillId="2" borderId="9" xfId="0" applyFill="1" applyBorder="1"/>
    <xf numFmtId="0" fontId="0" fillId="2" borderId="0" xfId="0" applyFill="1" applyAlignment="1">
      <alignment wrapText="1"/>
    </xf>
    <xf numFmtId="0" fontId="0" fillId="2" borderId="0" xfId="0" applyFill="1" applyAlignment="1">
      <alignment horizontal="left" wrapText="1"/>
    </xf>
    <xf numFmtId="0" fontId="5" fillId="2" borderId="9" xfId="0" applyFont="1" applyFill="1" applyBorder="1"/>
    <xf numFmtId="0" fontId="9" fillId="8" borderId="0" xfId="0" applyFont="1" applyFill="1" applyBorder="1" applyAlignment="1">
      <alignment wrapText="1"/>
    </xf>
    <xf numFmtId="0" fontId="0" fillId="2" borderId="0" xfId="0" applyFont="1" applyFill="1" applyBorder="1"/>
    <xf numFmtId="0" fontId="0" fillId="2" borderId="0" xfId="0" applyFill="1" applyAlignment="1">
      <alignment horizontal="left"/>
    </xf>
    <xf numFmtId="0" fontId="15" fillId="2" borderId="0" xfId="0" applyFont="1" applyFill="1" applyAlignment="1">
      <alignment horizontal="centerContinuous"/>
    </xf>
    <xf numFmtId="0" fontId="15" fillId="2" borderId="0" xfId="0" applyFont="1" applyFill="1" applyBorder="1" applyAlignment="1">
      <alignment horizontal="centerContinuous"/>
    </xf>
    <xf numFmtId="0" fontId="14" fillId="2" borderId="0" xfId="0" applyFont="1" applyFill="1" applyBorder="1"/>
    <xf numFmtId="0" fontId="16" fillId="2" borderId="0" xfId="0" applyFont="1" applyFill="1" applyAlignment="1">
      <alignment horizontal="centerContinuous"/>
    </xf>
    <xf numFmtId="0" fontId="14" fillId="2" borderId="0" xfId="0" applyFont="1" applyFill="1"/>
    <xf numFmtId="0" fontId="15" fillId="2" borderId="0" xfId="0" applyFont="1" applyFill="1" applyBorder="1" applyAlignment="1">
      <alignment horizontal="center"/>
    </xf>
    <xf numFmtId="0" fontId="15" fillId="2" borderId="0" xfId="0" applyFont="1" applyFill="1" applyBorder="1"/>
    <xf numFmtId="0" fontId="14" fillId="2" borderId="0" xfId="0" applyFont="1" applyFill="1" applyBorder="1" applyAlignment="1">
      <alignment horizontal="center"/>
    </xf>
    <xf numFmtId="168" fontId="17" fillId="2" borderId="1" xfId="0" applyNumberFormat="1" applyFont="1" applyFill="1" applyBorder="1" applyAlignment="1">
      <alignment horizontal="center"/>
    </xf>
    <xf numFmtId="164" fontId="14" fillId="2" borderId="0" xfId="0" applyNumberFormat="1" applyFont="1" applyFill="1" applyBorder="1" applyAlignment="1">
      <alignment horizontal="center"/>
    </xf>
    <xf numFmtId="168" fontId="17" fillId="2" borderId="0" xfId="0" applyNumberFormat="1" applyFont="1" applyFill="1" applyAlignment="1">
      <alignment horizontal="center"/>
    </xf>
    <xf numFmtId="164" fontId="18" fillId="2" borderId="0" xfId="0" applyNumberFormat="1" applyFont="1" applyFill="1" applyBorder="1" applyAlignment="1">
      <alignment horizontal="center"/>
    </xf>
    <xf numFmtId="168" fontId="17" fillId="2" borderId="0" xfId="0" applyNumberFormat="1" applyFont="1" applyFill="1" applyBorder="1" applyAlignment="1">
      <alignment horizontal="center"/>
    </xf>
    <xf numFmtId="0" fontId="14" fillId="2" borderId="0" xfId="0" applyFont="1" applyFill="1" applyBorder="1" applyAlignment="1">
      <alignment horizontal="left"/>
    </xf>
    <xf numFmtId="165" fontId="17" fillId="2" borderId="1" xfId="0" applyNumberFormat="1" applyFont="1" applyFill="1" applyBorder="1" applyAlignment="1">
      <alignment horizontal="right"/>
    </xf>
    <xf numFmtId="164" fontId="17" fillId="2" borderId="1" xfId="0" applyNumberFormat="1" applyFont="1" applyFill="1" applyBorder="1" applyAlignment="1">
      <alignment horizontal="center"/>
    </xf>
    <xf numFmtId="171" fontId="20" fillId="2" borderId="2" xfId="0" applyNumberFormat="1" applyFont="1" applyFill="1" applyBorder="1" applyAlignment="1">
      <alignment horizontal="center"/>
    </xf>
    <xf numFmtId="171" fontId="15" fillId="2" borderId="0" xfId="0" applyNumberFormat="1" applyFont="1" applyFill="1" applyBorder="1" applyAlignment="1">
      <alignment horizontal="center"/>
    </xf>
    <xf numFmtId="164" fontId="15" fillId="2" borderId="0" xfId="0" applyNumberFormat="1" applyFont="1" applyFill="1" applyBorder="1" applyAlignment="1">
      <alignment horizontal="center"/>
    </xf>
    <xf numFmtId="164" fontId="15" fillId="2" borderId="1" xfId="0" applyNumberFormat="1" applyFont="1" applyFill="1" applyBorder="1" applyAlignment="1">
      <alignment horizontal="center"/>
    </xf>
    <xf numFmtId="44" fontId="20" fillId="2" borderId="2" xfId="0" applyNumberFormat="1" applyFont="1" applyFill="1" applyBorder="1" applyAlignment="1">
      <alignment horizontal="center"/>
    </xf>
    <xf numFmtId="44" fontId="15" fillId="2" borderId="0" xfId="0" applyNumberFormat="1" applyFont="1" applyFill="1" applyBorder="1" applyAlignment="1">
      <alignment horizontal="center"/>
    </xf>
    <xf numFmtId="0" fontId="21" fillId="2" borderId="0" xfId="0" applyFont="1" applyFill="1" applyBorder="1" applyAlignment="1">
      <alignment wrapText="1"/>
    </xf>
    <xf numFmtId="0" fontId="22" fillId="2" borderId="0" xfId="0" applyFont="1" applyFill="1" applyBorder="1" applyAlignment="1"/>
    <xf numFmtId="0" fontId="23" fillId="2" borderId="0" xfId="0" quotePrefix="1" applyFont="1" applyFill="1" applyBorder="1" applyAlignment="1">
      <alignment horizontal="left"/>
    </xf>
    <xf numFmtId="164" fontId="14" fillId="2" borderId="0" xfId="0" applyNumberFormat="1" applyFont="1" applyFill="1" applyBorder="1"/>
    <xf numFmtId="0" fontId="23" fillId="2" borderId="0" xfId="0" applyFont="1" applyFill="1" applyAlignment="1">
      <alignment horizontal="right"/>
    </xf>
    <xf numFmtId="168" fontId="23" fillId="2" borderId="0" xfId="0" applyNumberFormat="1" applyFont="1" applyFill="1" applyAlignment="1"/>
    <xf numFmtId="0" fontId="23" fillId="2" borderId="0" xfId="0" applyFont="1" applyFill="1" applyBorder="1" applyAlignment="1"/>
    <xf numFmtId="0" fontId="23" fillId="2" borderId="0" xfId="0" applyFont="1" applyFill="1" applyAlignment="1"/>
    <xf numFmtId="165" fontId="23" fillId="2" borderId="0" xfId="4" applyNumberFormat="1" applyFont="1" applyFill="1" applyAlignment="1"/>
    <xf numFmtId="0" fontId="14" fillId="2" borderId="0" xfId="0" applyFont="1" applyFill="1" applyAlignment="1"/>
    <xf numFmtId="0" fontId="14" fillId="2" borderId="0" xfId="0" applyFont="1" applyFill="1" applyBorder="1" applyAlignment="1"/>
    <xf numFmtId="0" fontId="24" fillId="0" borderId="0" xfId="0" applyFont="1" applyBorder="1" applyAlignment="1">
      <alignment wrapText="1"/>
    </xf>
    <xf numFmtId="0" fontId="24" fillId="8" borderId="0" xfId="0" applyFont="1" applyFill="1" applyBorder="1" applyAlignment="1">
      <alignment wrapText="1"/>
    </xf>
    <xf numFmtId="0" fontId="15" fillId="2" borderId="0" xfId="0" applyFont="1" applyFill="1" applyAlignment="1">
      <alignment horizontal="left"/>
    </xf>
    <xf numFmtId="0" fontId="25" fillId="9" borderId="0" xfId="0" applyFont="1" applyFill="1" applyBorder="1" applyAlignment="1">
      <alignment horizontal="center"/>
    </xf>
    <xf numFmtId="14" fontId="25" fillId="9" borderId="1" xfId="0" applyNumberFormat="1" applyFont="1" applyFill="1" applyBorder="1" applyAlignment="1">
      <alignment horizontal="center" wrapText="1"/>
    </xf>
    <xf numFmtId="0" fontId="25" fillId="9" borderId="1" xfId="0" applyFont="1" applyFill="1" applyBorder="1" applyAlignment="1">
      <alignment horizontal="center" wrapText="1"/>
    </xf>
    <xf numFmtId="0" fontId="25" fillId="9" borderId="1" xfId="0" applyFont="1" applyFill="1" applyBorder="1" applyAlignment="1">
      <alignment horizontal="center"/>
    </xf>
    <xf numFmtId="0" fontId="19" fillId="0" borderId="0" xfId="1" applyNumberFormat="1" applyFont="1" applyFill="1" applyAlignment="1">
      <alignment horizontal="center"/>
    </xf>
    <xf numFmtId="0" fontId="26" fillId="0" borderId="0" xfId="1" applyNumberFormat="1" applyFont="1" applyFill="1" applyAlignment="1">
      <alignment horizontal="right"/>
    </xf>
    <xf numFmtId="0" fontId="19" fillId="0" borderId="0" xfId="1" applyNumberFormat="1" applyFont="1" applyFill="1" applyAlignment="1"/>
    <xf numFmtId="169" fontId="19" fillId="0" borderId="0" xfId="1" applyNumberFormat="1" applyFont="1" applyFill="1" applyAlignment="1"/>
    <xf numFmtId="169" fontId="19" fillId="0" borderId="0" xfId="1" applyNumberFormat="1" applyFont="1" applyFill="1" applyAlignment="1">
      <alignment horizontal="center"/>
    </xf>
    <xf numFmtId="0" fontId="19" fillId="0" borderId="0" xfId="1" applyNumberFormat="1" applyFont="1" applyFill="1" applyBorder="1" applyAlignment="1"/>
    <xf numFmtId="169" fontId="19" fillId="0" borderId="0" xfId="1" applyNumberFormat="1" applyFont="1" applyFill="1" applyBorder="1" applyAlignment="1"/>
    <xf numFmtId="0" fontId="27" fillId="0" borderId="0" xfId="0" applyFont="1" applyBorder="1" applyAlignment="1">
      <alignment horizontal="center"/>
    </xf>
    <xf numFmtId="169" fontId="27" fillId="0" borderId="1" xfId="1" quotePrefix="1" applyNumberFormat="1" applyFont="1" applyFill="1" applyBorder="1" applyAlignment="1">
      <alignment horizontal="center"/>
    </xf>
    <xf numFmtId="0" fontId="28" fillId="7" borderId="0" xfId="1" applyNumberFormat="1" applyFont="1" applyFill="1" applyAlignment="1"/>
    <xf numFmtId="169" fontId="28" fillId="7" borderId="0" xfId="1" applyNumberFormat="1" applyFont="1" applyFill="1" applyAlignment="1"/>
    <xf numFmtId="169" fontId="28" fillId="7" borderId="0" xfId="1" applyNumberFormat="1" applyFont="1" applyFill="1" applyAlignment="1">
      <alignment horizontal="center"/>
    </xf>
    <xf numFmtId="169" fontId="29" fillId="0" borderId="0" xfId="1" applyNumberFormat="1" applyFont="1" applyFill="1" applyAlignment="1"/>
    <xf numFmtId="169" fontId="29" fillId="0" borderId="0" xfId="1" applyNumberFormat="1" applyFont="1" applyFill="1" applyAlignment="1">
      <alignment horizontal="center"/>
    </xf>
    <xf numFmtId="0" fontId="14" fillId="0" borderId="0" xfId="1" applyNumberFormat="1" applyFont="1" applyFill="1" applyAlignment="1"/>
    <xf numFmtId="169" fontId="14" fillId="0" borderId="0" xfId="1" applyNumberFormat="1" applyFont="1" applyFill="1" applyAlignment="1"/>
    <xf numFmtId="0" fontId="14" fillId="0" borderId="0" xfId="1" applyNumberFormat="1" applyFont="1" applyFill="1" applyBorder="1" applyAlignment="1"/>
    <xf numFmtId="169" fontId="14" fillId="0" borderId="0" xfId="1" applyNumberFormat="1" applyFont="1" applyFill="1" applyBorder="1" applyAlignment="1"/>
    <xf numFmtId="0" fontId="14" fillId="0" borderId="0" xfId="1" applyNumberFormat="1" applyFont="1" applyFill="1" applyAlignment="1">
      <alignment horizontal="left"/>
    </xf>
    <xf numFmtId="0" fontId="14" fillId="0" borderId="0" xfId="1" applyNumberFormat="1" applyFont="1" applyFill="1" applyAlignment="1">
      <alignment horizontal="left" indent="1"/>
    </xf>
    <xf numFmtId="169" fontId="14" fillId="0" borderId="0" xfId="1" applyNumberFormat="1" applyFont="1" applyFill="1" applyAlignment="1">
      <alignment horizontal="left"/>
    </xf>
    <xf numFmtId="0" fontId="14" fillId="0" borderId="0" xfId="1" applyNumberFormat="1" applyFont="1" applyFill="1" applyAlignment="1">
      <alignment horizontal="left" wrapText="1" indent="1"/>
    </xf>
    <xf numFmtId="168" fontId="14" fillId="0" borderId="0" xfId="1" applyNumberFormat="1" applyFont="1" applyFill="1" applyAlignment="1"/>
    <xf numFmtId="168" fontId="14" fillId="0" borderId="0" xfId="1" applyNumberFormat="1" applyFont="1" applyFill="1" applyAlignment="1">
      <alignment horizontal="left"/>
    </xf>
    <xf numFmtId="0" fontId="14" fillId="0" borderId="0" xfId="1" applyNumberFormat="1" applyFont="1" applyFill="1" applyAlignment="1">
      <alignment horizontal="left" indent="3"/>
    </xf>
    <xf numFmtId="168" fontId="14" fillId="0" borderId="8" xfId="1" applyNumberFormat="1" applyFont="1" applyFill="1" applyBorder="1" applyAlignment="1"/>
    <xf numFmtId="168" fontId="14" fillId="0" borderId="1" xfId="1" applyNumberFormat="1" applyFont="1" applyFill="1" applyBorder="1" applyAlignment="1"/>
    <xf numFmtId="0" fontId="14" fillId="0" borderId="0" xfId="1" applyNumberFormat="1" applyFont="1" applyFill="1" applyAlignment="1">
      <alignment horizontal="left" wrapText="1"/>
    </xf>
    <xf numFmtId="169" fontId="14" fillId="0" borderId="0" xfId="1" applyNumberFormat="1" applyFont="1" applyFill="1" applyAlignment="1">
      <alignment vertical="top"/>
    </xf>
    <xf numFmtId="168" fontId="14" fillId="0" borderId="0" xfId="1" applyNumberFormat="1" applyFont="1" applyFill="1" applyAlignment="1">
      <alignment vertical="top"/>
    </xf>
    <xf numFmtId="0" fontId="14" fillId="0" borderId="0" xfId="1" applyNumberFormat="1" applyFont="1" applyFill="1" applyAlignment="1">
      <alignment vertical="top" wrapText="1"/>
    </xf>
    <xf numFmtId="0" fontId="14" fillId="0" borderId="0" xfId="1" applyNumberFormat="1" applyFont="1" applyFill="1" applyAlignment="1">
      <alignment wrapText="1"/>
    </xf>
    <xf numFmtId="168" fontId="14" fillId="0" borderId="7" xfId="1" applyNumberFormat="1" applyFont="1" applyFill="1" applyBorder="1" applyAlignment="1"/>
    <xf numFmtId="168" fontId="14" fillId="0" borderId="0" xfId="1" applyNumberFormat="1" applyFont="1" applyFill="1" applyBorder="1" applyAlignment="1"/>
    <xf numFmtId="0" fontId="14" fillId="0" borderId="0" xfId="1" applyNumberFormat="1" applyFont="1" applyFill="1" applyAlignment="1">
      <alignment horizontal="left" vertical="top" wrapText="1"/>
    </xf>
    <xf numFmtId="169" fontId="14" fillId="0" borderId="0" xfId="1" applyNumberFormat="1" applyFont="1" applyFill="1" applyAlignment="1">
      <alignment horizontal="left" vertical="top"/>
    </xf>
    <xf numFmtId="168" fontId="14" fillId="0" borderId="0" xfId="1" applyNumberFormat="1" applyFont="1" applyFill="1" applyBorder="1" applyAlignment="1">
      <alignment vertical="top"/>
    </xf>
    <xf numFmtId="168" fontId="14" fillId="0" borderId="0" xfId="1" applyNumberFormat="1" applyFont="1" applyFill="1" applyAlignment="1">
      <alignment horizontal="left" vertical="top"/>
    </xf>
    <xf numFmtId="168" fontId="14" fillId="0" borderId="0" xfId="1" applyNumberFormat="1" applyFont="1" applyFill="1" applyBorder="1" applyAlignment="1">
      <alignment horizontal="left"/>
    </xf>
    <xf numFmtId="0" fontId="14" fillId="2" borderId="0" xfId="0" applyFont="1" applyFill="1" applyAlignment="1">
      <alignment horizontal="left"/>
    </xf>
    <xf numFmtId="0" fontId="30" fillId="2" borderId="0" xfId="0" applyFont="1" applyFill="1" applyAlignment="1">
      <alignment horizontal="left"/>
    </xf>
    <xf numFmtId="0" fontId="14" fillId="2" borderId="0" xfId="0" applyFont="1" applyFill="1" applyAlignment="1">
      <alignment wrapText="1"/>
    </xf>
    <xf numFmtId="0" fontId="24" fillId="2" borderId="0" xfId="0" applyFont="1" applyFill="1" applyAlignment="1"/>
    <xf numFmtId="0" fontId="29" fillId="2" borderId="0" xfId="0" applyFont="1" applyFill="1" applyAlignment="1">
      <alignment wrapText="1"/>
    </xf>
    <xf numFmtId="0" fontId="29" fillId="2" borderId="0" xfId="0" applyFont="1" applyFill="1" applyAlignment="1">
      <alignment horizontal="right"/>
    </xf>
    <xf numFmtId="0" fontId="29" fillId="2" borderId="0" xfId="0" applyFont="1" applyFill="1" applyAlignment="1"/>
    <xf numFmtId="164" fontId="31" fillId="2" borderId="0" xfId="0" applyNumberFormat="1" applyFont="1" applyFill="1" applyBorder="1" applyAlignment="1">
      <alignment wrapText="1"/>
    </xf>
    <xf numFmtId="0" fontId="14" fillId="2" borderId="0" xfId="0" applyFont="1" applyFill="1" applyAlignment="1">
      <alignment vertical="top" wrapText="1"/>
    </xf>
    <xf numFmtId="0" fontId="14" fillId="2" borderId="9" xfId="0" applyFont="1" applyFill="1" applyBorder="1"/>
    <xf numFmtId="0" fontId="14" fillId="2" borderId="1" xfId="0" applyFont="1" applyFill="1" applyBorder="1"/>
    <xf numFmtId="168" fontId="14" fillId="2" borderId="0" xfId="0" applyNumberFormat="1" applyFont="1" applyFill="1" applyBorder="1" applyAlignment="1"/>
    <xf numFmtId="168" fontId="14" fillId="2" borderId="0" xfId="0" applyNumberFormat="1" applyFont="1" applyFill="1" applyAlignment="1">
      <alignment horizontal="center"/>
    </xf>
    <xf numFmtId="168" fontId="14" fillId="2" borderId="1" xfId="0" applyNumberFormat="1" applyFont="1" applyFill="1" applyBorder="1" applyAlignment="1">
      <alignment horizontal="center"/>
    </xf>
    <xf numFmtId="168" fontId="14" fillId="2" borderId="0" xfId="0" applyNumberFormat="1" applyFont="1" applyFill="1" applyBorder="1" applyAlignment="1">
      <alignment vertical="top" wrapText="1"/>
    </xf>
    <xf numFmtId="168" fontId="14" fillId="2" borderId="0" xfId="0" applyNumberFormat="1" applyFont="1" applyFill="1" applyBorder="1" applyAlignment="1">
      <alignment vertical="top"/>
    </xf>
    <xf numFmtId="164" fontId="14" fillId="2" borderId="0" xfId="0" applyNumberFormat="1" applyFont="1" applyFill="1" applyAlignment="1">
      <alignment horizontal="center"/>
    </xf>
    <xf numFmtId="0" fontId="14" fillId="2" borderId="0" xfId="0" applyFont="1" applyFill="1" applyAlignment="1">
      <alignment horizontal="left" vertical="top" wrapText="1"/>
    </xf>
    <xf numFmtId="168" fontId="20" fillId="2" borderId="0" xfId="0" applyNumberFormat="1" applyFont="1" applyFill="1" applyAlignment="1">
      <alignment horizontal="center"/>
    </xf>
    <xf numFmtId="171" fontId="20" fillId="2" borderId="0" xfId="0" applyNumberFormat="1" applyFont="1" applyFill="1" applyAlignment="1">
      <alignment horizontal="center"/>
    </xf>
    <xf numFmtId="0" fontId="22" fillId="2" borderId="0" xfId="0" quotePrefix="1" applyFont="1" applyFill="1" applyBorder="1" applyAlignment="1">
      <alignment horizontal="center"/>
    </xf>
    <xf numFmtId="0" fontId="22" fillId="2" borderId="0" xfId="0" applyFont="1" applyFill="1" applyBorder="1" applyAlignment="1">
      <alignment horizontal="left"/>
    </xf>
    <xf numFmtId="0" fontId="14" fillId="2" borderId="0" xfId="0" applyFont="1" applyFill="1" applyBorder="1" applyAlignment="1">
      <alignment horizontal="right"/>
    </xf>
    <xf numFmtId="168" fontId="14" fillId="2" borderId="0" xfId="0" applyNumberFormat="1" applyFont="1" applyFill="1" applyBorder="1" applyAlignment="1">
      <alignment horizontal="center"/>
    </xf>
    <xf numFmtId="0" fontId="14" fillId="2" borderId="0" xfId="0" applyFont="1" applyFill="1" applyBorder="1" applyAlignment="1">
      <alignment horizontal="left" vertical="top" wrapText="1"/>
    </xf>
    <xf numFmtId="168" fontId="14" fillId="2" borderId="0" xfId="0" applyNumberFormat="1" applyFont="1" applyFill="1" applyBorder="1" applyAlignment="1">
      <alignment horizontal="center" vertical="top"/>
    </xf>
    <xf numFmtId="168" fontId="15" fillId="2" borderId="0" xfId="0" applyNumberFormat="1" applyFont="1" applyFill="1" applyBorder="1" applyAlignment="1">
      <alignment horizontal="center"/>
    </xf>
    <xf numFmtId="0" fontId="15" fillId="2" borderId="0" xfId="0" applyFont="1" applyFill="1" applyBorder="1" applyAlignment="1">
      <alignment horizontal="right"/>
    </xf>
    <xf numFmtId="0" fontId="21" fillId="2" borderId="0" xfId="0" applyFont="1" applyFill="1" applyBorder="1" applyAlignment="1">
      <alignment horizontal="left"/>
    </xf>
    <xf numFmtId="167" fontId="14" fillId="2" borderId="0" xfId="0" applyNumberFormat="1" applyFont="1" applyFill="1" applyBorder="1"/>
    <xf numFmtId="168" fontId="15" fillId="2" borderId="7" xfId="0" applyNumberFormat="1" applyFont="1" applyFill="1" applyBorder="1" applyAlignment="1">
      <alignment horizontal="center"/>
    </xf>
    <xf numFmtId="0" fontId="14" fillId="2" borderId="1" xfId="0" applyFont="1" applyFill="1" applyBorder="1" applyAlignment="1">
      <alignment horizontal="left"/>
    </xf>
    <xf numFmtId="0" fontId="25" fillId="9" borderId="5" xfId="0" applyFont="1" applyFill="1" applyBorder="1" applyAlignment="1">
      <alignment horizontal="center"/>
    </xf>
    <xf numFmtId="0" fontId="15" fillId="2" borderId="0" xfId="0" applyFont="1" applyFill="1" applyBorder="1" applyAlignment="1">
      <alignment horizontal="left"/>
    </xf>
    <xf numFmtId="0" fontId="14" fillId="2" borderId="5" xfId="0" applyFont="1" applyFill="1" applyBorder="1"/>
    <xf numFmtId="168" fontId="14" fillId="2" borderId="9" xfId="0" applyNumberFormat="1" applyFont="1" applyFill="1" applyBorder="1" applyAlignment="1">
      <alignment horizontal="center"/>
    </xf>
    <xf numFmtId="168" fontId="14" fillId="2" borderId="5" xfId="0" applyNumberFormat="1" applyFont="1" applyFill="1" applyBorder="1" applyAlignment="1">
      <alignment horizontal="center"/>
    </xf>
    <xf numFmtId="168" fontId="14" fillId="2" borderId="9" xfId="0" applyNumberFormat="1" applyFont="1" applyFill="1" applyBorder="1"/>
    <xf numFmtId="168" fontId="17" fillId="2" borderId="9" xfId="0" applyNumberFormat="1" applyFont="1" applyFill="1" applyBorder="1" applyAlignment="1">
      <alignment horizontal="center"/>
    </xf>
    <xf numFmtId="168" fontId="17" fillId="2" borderId="5" xfId="0" applyNumberFormat="1" applyFont="1" applyFill="1" applyBorder="1" applyAlignment="1">
      <alignment horizontal="center"/>
    </xf>
    <xf numFmtId="168" fontId="14" fillId="2" borderId="0" xfId="0" applyNumberFormat="1" applyFont="1" applyFill="1"/>
    <xf numFmtId="168" fontId="17" fillId="2" borderId="0" xfId="0" applyNumberFormat="1" applyFont="1" applyFill="1" applyBorder="1"/>
    <xf numFmtId="168" fontId="14" fillId="2" borderId="0" xfId="0" applyNumberFormat="1" applyFont="1" applyFill="1" applyBorder="1"/>
    <xf numFmtId="168" fontId="14" fillId="2" borderId="0" xfId="0" applyNumberFormat="1" applyFont="1" applyFill="1" applyBorder="1" applyAlignment="1">
      <alignment horizontal="right"/>
    </xf>
    <xf numFmtId="168" fontId="17" fillId="2" borderId="0" xfId="0" applyNumberFormat="1" applyFont="1" applyFill="1" applyBorder="1" applyAlignment="1">
      <alignment horizontal="right"/>
    </xf>
    <xf numFmtId="168" fontId="17" fillId="2" borderId="0" xfId="0" applyNumberFormat="1" applyFont="1" applyFill="1" applyAlignment="1">
      <alignment horizontal="right"/>
    </xf>
    <xf numFmtId="168" fontId="17" fillId="2" borderId="0" xfId="0" applyNumberFormat="1" applyFont="1" applyFill="1"/>
    <xf numFmtId="168" fontId="17" fillId="2" borderId="1" xfId="0" applyNumberFormat="1" applyFont="1" applyFill="1" applyBorder="1"/>
    <xf numFmtId="0" fontId="14" fillId="2" borderId="0" xfId="0" applyFont="1" applyFill="1" applyAlignment="1">
      <alignment horizontal="center"/>
    </xf>
    <xf numFmtId="44" fontId="15" fillId="2" borderId="0" xfId="3" applyFont="1" applyFill="1" applyBorder="1"/>
    <xf numFmtId="165" fontId="14" fillId="2" borderId="0" xfId="4" applyNumberFormat="1" applyFont="1" applyFill="1" applyBorder="1"/>
    <xf numFmtId="0" fontId="33" fillId="2" borderId="0" xfId="0" applyFont="1" applyFill="1" applyBorder="1" applyAlignment="1">
      <alignment horizontal="center"/>
    </xf>
    <xf numFmtId="168" fontId="34" fillId="2" borderId="0" xfId="0" applyNumberFormat="1" applyFont="1" applyFill="1" applyBorder="1" applyAlignment="1">
      <alignment horizontal="center"/>
    </xf>
    <xf numFmtId="44" fontId="14" fillId="2" borderId="0" xfId="3" applyFont="1" applyFill="1" applyBorder="1" applyAlignment="1">
      <alignment horizontal="right"/>
    </xf>
    <xf numFmtId="44" fontId="17" fillId="2" borderId="0" xfId="3" applyFont="1" applyFill="1" applyBorder="1" applyAlignment="1">
      <alignment horizontal="right"/>
    </xf>
    <xf numFmtId="168" fontId="33" fillId="2" borderId="0" xfId="0" applyNumberFormat="1" applyFont="1" applyFill="1" applyBorder="1" applyAlignment="1">
      <alignment horizontal="center"/>
    </xf>
    <xf numFmtId="44" fontId="15" fillId="2" borderId="0" xfId="3" applyFont="1" applyFill="1" applyBorder="1" applyAlignment="1">
      <alignment horizontal="right"/>
    </xf>
    <xf numFmtId="168" fontId="19" fillId="2" borderId="0" xfId="0" applyNumberFormat="1" applyFont="1" applyFill="1" applyBorder="1"/>
    <xf numFmtId="165" fontId="19" fillId="2" borderId="0" xfId="4" applyNumberFormat="1" applyFont="1" applyFill="1" applyBorder="1"/>
    <xf numFmtId="168" fontId="14" fillId="2" borderId="7" xfId="0" applyNumberFormat="1" applyFont="1" applyFill="1" applyBorder="1" applyAlignment="1">
      <alignment horizontal="center"/>
    </xf>
    <xf numFmtId="0" fontId="25" fillId="9" borderId="4" xfId="0" applyFont="1" applyFill="1" applyBorder="1" applyAlignment="1">
      <alignment horizontal="center"/>
    </xf>
    <xf numFmtId="168" fontId="14" fillId="2" borderId="3" xfId="0" applyNumberFormat="1" applyFont="1" applyFill="1" applyBorder="1" applyAlignment="1">
      <alignment horizontal="center"/>
    </xf>
    <xf numFmtId="168" fontId="14" fillId="2" borderId="3" xfId="0" applyNumberFormat="1" applyFont="1" applyFill="1" applyBorder="1"/>
    <xf numFmtId="0" fontId="23" fillId="2" borderId="0" xfId="0" quotePrefix="1" applyFont="1" applyFill="1" applyBorder="1"/>
    <xf numFmtId="0" fontId="14" fillId="2" borderId="1" xfId="0" applyFont="1" applyFill="1" applyBorder="1" applyAlignment="1"/>
    <xf numFmtId="0" fontId="0" fillId="2" borderId="1" xfId="0" applyFill="1" applyBorder="1" applyAlignment="1">
      <alignment vertical="top" wrapText="1"/>
    </xf>
    <xf numFmtId="0" fontId="14" fillId="2" borderId="1" xfId="0" applyFont="1" applyFill="1" applyBorder="1" applyAlignment="1">
      <alignment vertical="top" wrapText="1"/>
    </xf>
    <xf numFmtId="0" fontId="0" fillId="2" borderId="0" xfId="0" applyFill="1" applyAlignment="1">
      <alignment vertical="top" wrapText="1"/>
    </xf>
    <xf numFmtId="0" fontId="15" fillId="2" borderId="0" xfId="0" applyFont="1" applyFill="1" applyAlignment="1">
      <alignment vertical="top" wrapText="1"/>
    </xf>
    <xf numFmtId="0" fontId="15" fillId="0" borderId="0" xfId="1" applyNumberFormat="1" applyFont="1" applyFill="1" applyAlignment="1">
      <alignment horizontal="left"/>
    </xf>
    <xf numFmtId="169" fontId="15" fillId="0" borderId="0" xfId="1" applyNumberFormat="1" applyFont="1" applyFill="1" applyAlignment="1"/>
    <xf numFmtId="172" fontId="15" fillId="0" borderId="6" xfId="3" applyNumberFormat="1" applyFont="1" applyFill="1" applyBorder="1" applyAlignment="1"/>
    <xf numFmtId="172" fontId="15" fillId="0" borderId="0" xfId="3" applyNumberFormat="1" applyFont="1" applyFill="1" applyAlignment="1"/>
    <xf numFmtId="172" fontId="15" fillId="0" borderId="0" xfId="3" applyNumberFormat="1" applyFont="1" applyFill="1" applyBorder="1" applyAlignment="1"/>
    <xf numFmtId="172" fontId="20" fillId="0" borderId="6" xfId="2" applyNumberFormat="1" applyFont="1" applyFill="1" applyBorder="1" applyAlignment="1"/>
    <xf numFmtId="0" fontId="15" fillId="0" borderId="0" xfId="1" applyNumberFormat="1" applyFont="1" applyFill="1" applyAlignment="1">
      <alignment horizontal="left" wrapText="1"/>
    </xf>
    <xf numFmtId="169" fontId="15" fillId="0" borderId="0" xfId="1" applyNumberFormat="1" applyFont="1" applyFill="1" applyAlignment="1">
      <alignment horizontal="left"/>
    </xf>
    <xf numFmtId="168" fontId="15" fillId="0" borderId="0" xfId="1" applyNumberFormat="1" applyFont="1" applyFill="1" applyBorder="1" applyAlignment="1"/>
    <xf numFmtId="168" fontId="15" fillId="0" borderId="0" xfId="1" applyNumberFormat="1" applyFont="1" applyFill="1" applyAlignment="1"/>
    <xf numFmtId="0" fontId="15" fillId="0" borderId="0" xfId="1" applyNumberFormat="1" applyFont="1" applyFill="1" applyAlignment="1">
      <alignment horizontal="left" indent="1"/>
    </xf>
    <xf numFmtId="171" fontId="15" fillId="0" borderId="0" xfId="3" applyNumberFormat="1" applyFont="1" applyFill="1" applyAlignment="1"/>
    <xf numFmtId="171" fontId="15" fillId="0" borderId="0" xfId="1" applyNumberFormat="1" applyFont="1" applyFill="1" applyAlignment="1"/>
    <xf numFmtId="171" fontId="15" fillId="0" borderId="0" xfId="1" applyNumberFormat="1" applyFont="1" applyFill="1" applyAlignment="1">
      <alignment horizontal="left"/>
    </xf>
    <xf numFmtId="168" fontId="15" fillId="0" borderId="0" xfId="1" applyNumberFormat="1" applyFont="1" applyFill="1" applyAlignment="1">
      <alignment horizontal="left"/>
    </xf>
    <xf numFmtId="0" fontId="15" fillId="0" borderId="0" xfId="1" applyNumberFormat="1" applyFont="1" applyFill="1" applyAlignment="1">
      <alignment horizontal="left" indent="3"/>
    </xf>
    <xf numFmtId="168" fontId="15" fillId="0" borderId="8" xfId="1" applyNumberFormat="1" applyFont="1" applyFill="1" applyBorder="1" applyAlignment="1"/>
    <xf numFmtId="169" fontId="25" fillId="9" borderId="1" xfId="1" quotePrefix="1" applyNumberFormat="1" applyFont="1" applyFill="1" applyBorder="1" applyAlignment="1">
      <alignment horizontal="center"/>
    </xf>
    <xf numFmtId="169" fontId="35" fillId="9" borderId="0" xfId="1" applyNumberFormat="1" applyFont="1" applyFill="1" applyAlignment="1"/>
    <xf numFmtId="0" fontId="15" fillId="9" borderId="0" xfId="0" applyFont="1" applyFill="1" applyBorder="1" applyAlignment="1">
      <alignment horizontal="center"/>
    </xf>
    <xf numFmtId="169" fontId="37" fillId="0" borderId="0" xfId="1" applyNumberFormat="1" applyFont="1" applyFill="1" applyAlignment="1"/>
    <xf numFmtId="169" fontId="36" fillId="0" borderId="0" xfId="1" applyNumberFormat="1" applyFont="1" applyFill="1" applyAlignment="1"/>
    <xf numFmtId="169" fontId="36" fillId="0" borderId="0" xfId="1" applyNumberFormat="1" applyFont="1" applyFill="1" applyAlignment="1">
      <alignment horizontal="center"/>
    </xf>
    <xf numFmtId="0" fontId="0" fillId="2" borderId="6" xfId="0" applyFill="1" applyBorder="1"/>
    <xf numFmtId="0" fontId="14" fillId="2" borderId="6" xfId="0" applyFont="1" applyFill="1" applyBorder="1"/>
    <xf numFmtId="0" fontId="14" fillId="2" borderId="6" xfId="0" applyFont="1" applyFill="1" applyBorder="1" applyAlignment="1">
      <alignment horizontal="left"/>
    </xf>
    <xf numFmtId="0" fontId="25" fillId="9" borderId="9" xfId="0" applyFont="1" applyFill="1" applyBorder="1" applyAlignment="1">
      <alignment horizontal="center"/>
    </xf>
    <xf numFmtId="171" fontId="14" fillId="2" borderId="0" xfId="0" applyNumberFormat="1" applyFont="1" applyFill="1"/>
    <xf numFmtId="171" fontId="14" fillId="2" borderId="9" xfId="0" applyNumberFormat="1" applyFont="1" applyFill="1" applyBorder="1"/>
    <xf numFmtId="168" fontId="31" fillId="2" borderId="0" xfId="0" applyNumberFormat="1" applyFont="1" applyFill="1" applyBorder="1" applyAlignment="1">
      <alignment wrapText="1"/>
    </xf>
    <xf numFmtId="168" fontId="14" fillId="2" borderId="1" xfId="0" applyNumberFormat="1" applyFont="1" applyFill="1" applyBorder="1"/>
    <xf numFmtId="168" fontId="14" fillId="2" borderId="5" xfId="0" applyNumberFormat="1" applyFont="1" applyFill="1" applyBorder="1"/>
    <xf numFmtId="168" fontId="31" fillId="2" borderId="1" xfId="0" applyNumberFormat="1" applyFont="1" applyFill="1" applyBorder="1" applyAlignment="1">
      <alignment wrapText="1"/>
    </xf>
    <xf numFmtId="168" fontId="14" fillId="2" borderId="6" xfId="0" applyNumberFormat="1" applyFont="1" applyFill="1" applyBorder="1"/>
    <xf numFmtId="168" fontId="14" fillId="2" borderId="10" xfId="0" applyNumberFormat="1" applyFont="1" applyFill="1" applyBorder="1"/>
    <xf numFmtId="168" fontId="14" fillId="2" borderId="0" xfId="1" applyNumberFormat="1" applyFont="1" applyFill="1" applyBorder="1" applyAlignment="1">
      <alignment horizontal="center"/>
    </xf>
    <xf numFmtId="168" fontId="14" fillId="2" borderId="9" xfId="1" applyNumberFormat="1" applyFont="1" applyFill="1" applyBorder="1" applyAlignment="1">
      <alignment horizontal="center"/>
    </xf>
    <xf numFmtId="168" fontId="14" fillId="2" borderId="1" xfId="1" applyNumberFormat="1" applyFont="1" applyFill="1" applyBorder="1" applyAlignment="1">
      <alignment horizontal="center"/>
    </xf>
    <xf numFmtId="168" fontId="14" fillId="2" borderId="5" xfId="1" applyNumberFormat="1" applyFont="1" applyFill="1" applyBorder="1" applyAlignment="1">
      <alignment horizontal="center"/>
    </xf>
    <xf numFmtId="168" fontId="15" fillId="2" borderId="0" xfId="1" applyNumberFormat="1" applyFont="1" applyFill="1" applyBorder="1" applyAlignment="1">
      <alignment horizontal="center"/>
    </xf>
    <xf numFmtId="168" fontId="15" fillId="2" borderId="9" xfId="1" applyNumberFormat="1" applyFont="1" applyFill="1" applyBorder="1" applyAlignment="1">
      <alignment horizontal="center"/>
    </xf>
    <xf numFmtId="168" fontId="15" fillId="2" borderId="0" xfId="0" applyNumberFormat="1" applyFont="1" applyFill="1"/>
    <xf numFmtId="165" fontId="22" fillId="2" borderId="0" xfId="1" applyNumberFormat="1" applyFont="1" applyFill="1" applyBorder="1" applyAlignment="1">
      <alignment horizontal="right"/>
    </xf>
    <xf numFmtId="165" fontId="22" fillId="2" borderId="9" xfId="1" applyNumberFormat="1" applyFont="1" applyFill="1" applyBorder="1" applyAlignment="1">
      <alignment horizontal="right"/>
    </xf>
    <xf numFmtId="165" fontId="22" fillId="2" borderId="0" xfId="4" applyNumberFormat="1" applyFont="1" applyFill="1" applyAlignment="1">
      <alignment horizontal="right"/>
    </xf>
    <xf numFmtId="168" fontId="17" fillId="2" borderId="0" xfId="1" applyNumberFormat="1" applyFont="1" applyFill="1" applyBorder="1" applyAlignment="1">
      <alignment horizontal="center"/>
    </xf>
    <xf numFmtId="168" fontId="17" fillId="2" borderId="9" xfId="1" applyNumberFormat="1" applyFont="1" applyFill="1" applyBorder="1" applyAlignment="1">
      <alignment horizontal="center"/>
    </xf>
    <xf numFmtId="168" fontId="17" fillId="2" borderId="1" xfId="1" applyNumberFormat="1" applyFont="1" applyFill="1" applyBorder="1" applyAlignment="1">
      <alignment horizontal="center"/>
    </xf>
    <xf numFmtId="168" fontId="17" fillId="2" borderId="5" xfId="1" applyNumberFormat="1" applyFont="1" applyFill="1" applyBorder="1" applyAlignment="1">
      <alignment horizontal="center"/>
    </xf>
    <xf numFmtId="168" fontId="20" fillId="2" borderId="0" xfId="1" applyNumberFormat="1" applyFont="1" applyFill="1" applyBorder="1" applyAlignment="1">
      <alignment horizontal="center"/>
    </xf>
    <xf numFmtId="168" fontId="20" fillId="2" borderId="9" xfId="1" applyNumberFormat="1" applyFont="1" applyFill="1" applyBorder="1" applyAlignment="1">
      <alignment horizontal="center"/>
    </xf>
    <xf numFmtId="164" fontId="14" fillId="2" borderId="0" xfId="1" applyNumberFormat="1" applyFont="1" applyFill="1" applyBorder="1" applyAlignment="1">
      <alignment horizontal="center"/>
    </xf>
    <xf numFmtId="164" fontId="14" fillId="2" borderId="9" xfId="1" applyNumberFormat="1" applyFont="1" applyFill="1" applyBorder="1" applyAlignment="1">
      <alignment horizontal="center"/>
    </xf>
    <xf numFmtId="164" fontId="14" fillId="2" borderId="9" xfId="0" applyNumberFormat="1" applyFont="1" applyFill="1" applyBorder="1" applyAlignment="1">
      <alignment horizontal="center"/>
    </xf>
    <xf numFmtId="168" fontId="14" fillId="2" borderId="0" xfId="1" applyNumberFormat="1" applyFont="1" applyFill="1"/>
    <xf numFmtId="9" fontId="22" fillId="2" borderId="0" xfId="4" applyFont="1" applyFill="1" applyAlignment="1">
      <alignment horizontal="right"/>
    </xf>
    <xf numFmtId="168" fontId="14" fillId="2" borderId="0" xfId="1" applyNumberFormat="1" applyFont="1" applyFill="1" applyAlignment="1">
      <alignment horizontal="center"/>
    </xf>
    <xf numFmtId="0" fontId="21" fillId="2" borderId="0" xfId="0" applyFont="1" applyFill="1" applyBorder="1" applyAlignment="1"/>
    <xf numFmtId="0" fontId="15" fillId="2" borderId="1" xfId="0" applyFont="1" applyFill="1" applyBorder="1" applyAlignment="1">
      <alignment horizontal="left"/>
    </xf>
    <xf numFmtId="0" fontId="17" fillId="2" borderId="9" xfId="0" applyFont="1" applyFill="1" applyBorder="1"/>
    <xf numFmtId="0" fontId="17" fillId="2" borderId="0" xfId="0" applyFont="1" applyFill="1"/>
    <xf numFmtId="0" fontId="17" fillId="2" borderId="0" xfId="0" applyFont="1" applyFill="1" applyBorder="1"/>
    <xf numFmtId="168" fontId="17" fillId="2" borderId="0" xfId="1" applyNumberFormat="1" applyFont="1" applyFill="1"/>
    <xf numFmtId="168" fontId="17" fillId="2" borderId="9" xfId="1" applyNumberFormat="1" applyFont="1" applyFill="1" applyBorder="1"/>
    <xf numFmtId="168" fontId="17" fillId="2" borderId="0" xfId="1" applyNumberFormat="1" applyFont="1" applyFill="1" applyAlignment="1">
      <alignment horizontal="center"/>
    </xf>
    <xf numFmtId="168" fontId="17" fillId="2" borderId="1" xfId="1" applyNumberFormat="1" applyFont="1" applyFill="1" applyBorder="1"/>
    <xf numFmtId="168" fontId="17" fillId="2" borderId="5" xfId="1" applyNumberFormat="1" applyFont="1" applyFill="1" applyBorder="1"/>
    <xf numFmtId="168" fontId="15" fillId="2" borderId="0" xfId="1" applyNumberFormat="1" applyFont="1" applyFill="1"/>
    <xf numFmtId="168" fontId="15" fillId="2" borderId="9" xfId="1" applyNumberFormat="1" applyFont="1" applyFill="1" applyBorder="1"/>
    <xf numFmtId="168" fontId="20" fillId="2" borderId="9" xfId="1" applyNumberFormat="1" applyFont="1" applyFill="1" applyBorder="1"/>
    <xf numFmtId="168" fontId="20" fillId="2" borderId="0" xfId="1" applyNumberFormat="1" applyFont="1" applyFill="1"/>
    <xf numFmtId="168" fontId="14" fillId="2" borderId="9" xfId="1" applyNumberFormat="1" applyFont="1" applyFill="1" applyBorder="1"/>
    <xf numFmtId="168" fontId="14" fillId="2" borderId="1" xfId="1" applyNumberFormat="1" applyFont="1" applyFill="1" applyBorder="1"/>
    <xf numFmtId="168" fontId="14" fillId="2" borderId="5" xfId="1" applyNumberFormat="1" applyFont="1" applyFill="1" applyBorder="1"/>
    <xf numFmtId="168" fontId="15" fillId="2" borderId="0" xfId="1" applyNumberFormat="1" applyFont="1" applyFill="1" applyBorder="1" applyAlignment="1">
      <alignment horizontal="right"/>
    </xf>
    <xf numFmtId="168" fontId="15" fillId="2" borderId="9" xfId="1" applyNumberFormat="1" applyFont="1" applyFill="1" applyBorder="1" applyAlignment="1">
      <alignment horizontal="right"/>
    </xf>
    <xf numFmtId="168" fontId="20" fillId="2" borderId="9" xfId="1" applyNumberFormat="1" applyFont="1" applyFill="1" applyBorder="1" applyAlignment="1">
      <alignment horizontal="right"/>
    </xf>
    <xf numFmtId="168" fontId="20" fillId="2" borderId="0" xfId="1" applyNumberFormat="1" applyFont="1" applyFill="1" applyBorder="1" applyAlignment="1">
      <alignment horizontal="right"/>
    </xf>
    <xf numFmtId="168" fontId="20" fillId="2" borderId="0" xfId="0" applyNumberFormat="1" applyFont="1" applyFill="1" applyAlignment="1">
      <alignment horizontal="right"/>
    </xf>
    <xf numFmtId="168" fontId="20" fillId="2" borderId="0" xfId="0" applyNumberFormat="1" applyFont="1" applyFill="1"/>
    <xf numFmtId="168" fontId="14" fillId="2" borderId="0" xfId="1" applyNumberFormat="1" applyFont="1" applyFill="1" applyBorder="1" applyAlignment="1">
      <alignment horizontal="right"/>
    </xf>
    <xf numFmtId="168" fontId="14" fillId="2" borderId="9" xfId="1" applyNumberFormat="1" applyFont="1" applyFill="1" applyBorder="1" applyAlignment="1">
      <alignment horizontal="right"/>
    </xf>
    <xf numFmtId="168" fontId="17" fillId="2" borderId="9" xfId="1" applyNumberFormat="1" applyFont="1" applyFill="1" applyBorder="1" applyAlignment="1">
      <alignment horizontal="right"/>
    </xf>
    <xf numFmtId="168" fontId="17" fillId="2" borderId="0" xfId="1" applyNumberFormat="1" applyFont="1" applyFill="1" applyBorder="1" applyAlignment="1">
      <alignment horizontal="right"/>
    </xf>
    <xf numFmtId="168" fontId="14" fillId="2" borderId="0" xfId="1" applyNumberFormat="1" applyFont="1" applyFill="1" applyAlignment="1">
      <alignment horizontal="right"/>
    </xf>
    <xf numFmtId="168" fontId="17" fillId="2" borderId="0" xfId="1" applyNumberFormat="1" applyFont="1" applyFill="1" applyAlignment="1">
      <alignment horizontal="right"/>
    </xf>
    <xf numFmtId="0" fontId="17" fillId="2" borderId="0" xfId="0" applyFont="1" applyFill="1" applyAlignment="1">
      <alignment horizontal="center"/>
    </xf>
    <xf numFmtId="165" fontId="14" fillId="2" borderId="9" xfId="1" applyNumberFormat="1" applyFont="1" applyFill="1" applyBorder="1" applyAlignment="1">
      <alignment horizontal="right"/>
    </xf>
    <xf numFmtId="165" fontId="14" fillId="2" borderId="0" xfId="1" applyNumberFormat="1" applyFont="1" applyFill="1" applyAlignment="1">
      <alignment horizontal="right"/>
    </xf>
    <xf numFmtId="165" fontId="17" fillId="2" borderId="9" xfId="1" applyNumberFormat="1" applyFont="1" applyFill="1" applyBorder="1" applyAlignment="1">
      <alignment horizontal="right"/>
    </xf>
    <xf numFmtId="165" fontId="17" fillId="2" borderId="0" xfId="1" applyNumberFormat="1" applyFont="1" applyFill="1" applyAlignment="1">
      <alignment horizontal="right"/>
    </xf>
    <xf numFmtId="165" fontId="17" fillId="2" borderId="0" xfId="4" applyNumberFormat="1" applyFont="1" applyFill="1" applyAlignment="1">
      <alignment horizontal="right"/>
    </xf>
    <xf numFmtId="165" fontId="17" fillId="2" borderId="0" xfId="0" applyNumberFormat="1" applyFont="1" applyFill="1" applyAlignment="1">
      <alignment horizontal="right"/>
    </xf>
    <xf numFmtId="165" fontId="14" fillId="2" borderId="5" xfId="1" applyNumberFormat="1" applyFont="1" applyFill="1" applyBorder="1" applyAlignment="1">
      <alignment horizontal="right"/>
    </xf>
    <xf numFmtId="165" fontId="14" fillId="2" borderId="1" xfId="1" applyNumberFormat="1" applyFont="1" applyFill="1" applyBorder="1" applyAlignment="1">
      <alignment horizontal="right"/>
    </xf>
    <xf numFmtId="165" fontId="17" fillId="2" borderId="5" xfId="1" applyNumberFormat="1" applyFont="1" applyFill="1" applyBorder="1" applyAlignment="1">
      <alignment horizontal="right"/>
    </xf>
    <xf numFmtId="165" fontId="17" fillId="2" borderId="1" xfId="1" applyNumberFormat="1" applyFont="1" applyFill="1" applyBorder="1" applyAlignment="1">
      <alignment horizontal="right"/>
    </xf>
    <xf numFmtId="165" fontId="15" fillId="2" borderId="9" xfId="1" applyNumberFormat="1" applyFont="1" applyFill="1" applyBorder="1" applyAlignment="1">
      <alignment horizontal="right"/>
    </xf>
    <xf numFmtId="165" fontId="15" fillId="2" borderId="0" xfId="1" applyNumberFormat="1" applyFont="1" applyFill="1" applyAlignment="1">
      <alignment horizontal="right"/>
    </xf>
    <xf numFmtId="165" fontId="20" fillId="2" borderId="9" xfId="1" applyNumberFormat="1" applyFont="1" applyFill="1" applyBorder="1" applyAlignment="1">
      <alignment horizontal="right"/>
    </xf>
    <xf numFmtId="165" fontId="20" fillId="2" borderId="0" xfId="1" applyNumberFormat="1" applyFont="1" applyFill="1" applyAlignment="1">
      <alignment horizontal="right"/>
    </xf>
    <xf numFmtId="165" fontId="20" fillId="2" borderId="0" xfId="0" applyNumberFormat="1" applyFont="1" applyFill="1" applyAlignment="1">
      <alignment horizontal="right"/>
    </xf>
    <xf numFmtId="165" fontId="14" fillId="2" borderId="9" xfId="0" applyNumberFormat="1" applyFont="1" applyFill="1" applyBorder="1"/>
    <xf numFmtId="165" fontId="14" fillId="2" borderId="0" xfId="0" applyNumberFormat="1" applyFont="1" applyFill="1"/>
    <xf numFmtId="165" fontId="17" fillId="2" borderId="9" xfId="0" applyNumberFormat="1" applyFont="1" applyFill="1" applyBorder="1"/>
    <xf numFmtId="165" fontId="17" fillId="2" borderId="0" xfId="0" applyNumberFormat="1" applyFont="1" applyFill="1"/>
    <xf numFmtId="165" fontId="17" fillId="2" borderId="0" xfId="0" applyNumberFormat="1" applyFont="1" applyFill="1" applyAlignment="1">
      <alignment horizontal="center"/>
    </xf>
    <xf numFmtId="166" fontId="14" fillId="2" borderId="0" xfId="1" applyNumberFormat="1" applyFont="1" applyFill="1"/>
    <xf numFmtId="166" fontId="14" fillId="2" borderId="9" xfId="1" applyNumberFormat="1" applyFont="1" applyFill="1" applyBorder="1"/>
    <xf numFmtId="166" fontId="14" fillId="2" borderId="1" xfId="1" applyNumberFormat="1" applyFont="1" applyFill="1" applyBorder="1"/>
    <xf numFmtId="166" fontId="14" fillId="2" borderId="5" xfId="1" applyNumberFormat="1" applyFont="1" applyFill="1" applyBorder="1"/>
    <xf numFmtId="166" fontId="15" fillId="2" borderId="0" xfId="1" applyNumberFormat="1" applyFont="1" applyFill="1"/>
    <xf numFmtId="166" fontId="15" fillId="2" borderId="9" xfId="1" applyNumberFormat="1" applyFont="1" applyFill="1" applyBorder="1"/>
    <xf numFmtId="165" fontId="14" fillId="2" borderId="9" xfId="1" applyNumberFormat="1" applyFont="1" applyFill="1" applyBorder="1"/>
    <xf numFmtId="165" fontId="14" fillId="2" borderId="0" xfId="1" applyNumberFormat="1" applyFont="1" applyFill="1"/>
    <xf numFmtId="165" fontId="17" fillId="2" borderId="9" xfId="1" applyNumberFormat="1" applyFont="1" applyFill="1" applyBorder="1"/>
    <xf numFmtId="165" fontId="17" fillId="2" borderId="0" xfId="1" applyNumberFormat="1" applyFont="1" applyFill="1"/>
    <xf numFmtId="165" fontId="17" fillId="2" borderId="0" xfId="1" applyNumberFormat="1" applyFont="1" applyFill="1" applyAlignment="1">
      <alignment horizontal="center"/>
    </xf>
    <xf numFmtId="166" fontId="14" fillId="2" borderId="0" xfId="1" applyNumberFormat="1" applyFont="1" applyFill="1" applyBorder="1" applyAlignment="1">
      <alignment horizontal="center"/>
    </xf>
    <xf numFmtId="166" fontId="14" fillId="2" borderId="9" xfId="1" applyNumberFormat="1" applyFont="1" applyFill="1" applyBorder="1" applyAlignment="1">
      <alignment horizontal="center"/>
    </xf>
    <xf numFmtId="166" fontId="15" fillId="2" borderId="0" xfId="1" applyNumberFormat="1" applyFont="1" applyFill="1" applyBorder="1" applyAlignment="1">
      <alignment horizontal="center"/>
    </xf>
    <xf numFmtId="166" fontId="15" fillId="2" borderId="9" xfId="1" applyNumberFormat="1" applyFont="1" applyFill="1" applyBorder="1" applyAlignment="1">
      <alignment horizontal="center"/>
    </xf>
    <xf numFmtId="165" fontId="14" fillId="2" borderId="9" xfId="0" applyNumberFormat="1" applyFont="1" applyFill="1" applyBorder="1" applyAlignment="1">
      <alignment horizontal="right"/>
    </xf>
    <xf numFmtId="165" fontId="14" fillId="2" borderId="0" xfId="0" applyNumberFormat="1" applyFont="1" applyFill="1" applyAlignment="1">
      <alignment horizontal="right"/>
    </xf>
    <xf numFmtId="165" fontId="15" fillId="2" borderId="0" xfId="1" applyNumberFormat="1" applyFont="1" applyFill="1" applyBorder="1" applyAlignment="1">
      <alignment horizontal="right"/>
    </xf>
    <xf numFmtId="165" fontId="20" fillId="2" borderId="0" xfId="1" applyNumberFormat="1" applyFont="1" applyFill="1" applyBorder="1" applyAlignment="1">
      <alignment horizontal="right"/>
    </xf>
    <xf numFmtId="0" fontId="17" fillId="2" borderId="0" xfId="0" applyFont="1" applyFill="1" applyBorder="1" applyAlignment="1">
      <alignment horizontal="center"/>
    </xf>
    <xf numFmtId="0" fontId="38" fillId="2" borderId="0" xfId="0" applyFont="1" applyFill="1" applyBorder="1" applyAlignment="1">
      <alignment horizontal="left"/>
    </xf>
    <xf numFmtId="166" fontId="14" fillId="10" borderId="0" xfId="1" applyNumberFormat="1" applyFont="1" applyFill="1"/>
    <xf numFmtId="166" fontId="14" fillId="10" borderId="9" xfId="1" applyNumberFormat="1" applyFont="1" applyFill="1" applyBorder="1"/>
    <xf numFmtId="165" fontId="14" fillId="10" borderId="9" xfId="1" applyNumberFormat="1" applyFont="1" applyFill="1" applyBorder="1" applyAlignment="1">
      <alignment horizontal="right"/>
    </xf>
    <xf numFmtId="165" fontId="14" fillId="10" borderId="0" xfId="1" applyNumberFormat="1" applyFont="1" applyFill="1" applyAlignment="1">
      <alignment horizontal="right"/>
    </xf>
    <xf numFmtId="165" fontId="17" fillId="10" borderId="9" xfId="1" applyNumberFormat="1" applyFont="1" applyFill="1" applyBorder="1" applyAlignment="1">
      <alignment horizontal="right"/>
    </xf>
    <xf numFmtId="165" fontId="17" fillId="10" borderId="0" xfId="1" applyNumberFormat="1" applyFont="1" applyFill="1" applyAlignment="1">
      <alignment horizontal="right"/>
    </xf>
    <xf numFmtId="165" fontId="17" fillId="10" borderId="0" xfId="0" applyNumberFormat="1" applyFont="1" applyFill="1" applyAlignment="1">
      <alignment horizontal="right"/>
    </xf>
    <xf numFmtId="166" fontId="14" fillId="10" borderId="0" xfId="1" applyNumberFormat="1" applyFont="1" applyFill="1" applyAlignment="1">
      <alignment horizontal="center"/>
    </xf>
    <xf numFmtId="0" fontId="14" fillId="10" borderId="1" xfId="0" applyFont="1" applyFill="1" applyBorder="1"/>
    <xf numFmtId="0" fontId="14" fillId="10" borderId="5" xfId="0" applyFont="1" applyFill="1" applyBorder="1"/>
    <xf numFmtId="165" fontId="14" fillId="10" borderId="5" xfId="0" applyNumberFormat="1" applyFont="1" applyFill="1" applyBorder="1" applyAlignment="1">
      <alignment horizontal="right"/>
    </xf>
    <xf numFmtId="165" fontId="14" fillId="10" borderId="1" xfId="0" applyNumberFormat="1" applyFont="1" applyFill="1" applyBorder="1" applyAlignment="1">
      <alignment horizontal="right"/>
    </xf>
    <xf numFmtId="165" fontId="17" fillId="10" borderId="5" xfId="0" applyNumberFormat="1" applyFont="1" applyFill="1" applyBorder="1" applyAlignment="1">
      <alignment horizontal="right"/>
    </xf>
    <xf numFmtId="165" fontId="17" fillId="10" borderId="1" xfId="0" applyNumberFormat="1" applyFont="1" applyFill="1" applyBorder="1" applyAlignment="1">
      <alignment horizontal="right"/>
    </xf>
    <xf numFmtId="0" fontId="15" fillId="2" borderId="0" xfId="0" applyFont="1" applyFill="1" applyBorder="1" applyAlignment="1">
      <alignment horizontal="left" vertical="top" wrapText="1"/>
    </xf>
    <xf numFmtId="0" fontId="14" fillId="2" borderId="1" xfId="0" applyFont="1" applyFill="1" applyBorder="1" applyAlignment="1">
      <alignment horizontal="left" vertical="top" wrapText="1"/>
    </xf>
    <xf numFmtId="0" fontId="15" fillId="2" borderId="0" xfId="0" applyFont="1" applyFill="1" applyAlignment="1">
      <alignment horizontal="left" vertical="top" wrapText="1"/>
    </xf>
    <xf numFmtId="0" fontId="22" fillId="2" borderId="0" xfId="0" applyFont="1" applyFill="1" applyAlignment="1">
      <alignment horizontal="left" vertical="top" wrapText="1"/>
    </xf>
    <xf numFmtId="166" fontId="14" fillId="2" borderId="0" xfId="1" applyNumberFormat="1" applyFont="1" applyFill="1" applyAlignment="1">
      <alignment horizontal="left" vertical="top" wrapText="1"/>
    </xf>
    <xf numFmtId="0" fontId="15" fillId="2" borderId="0" xfId="0" applyFont="1" applyFill="1" applyBorder="1" applyAlignment="1">
      <alignment vertical="top" wrapText="1"/>
    </xf>
    <xf numFmtId="0" fontId="14" fillId="2" borderId="0" xfId="0" applyFont="1" applyFill="1" applyBorder="1" applyAlignment="1">
      <alignment vertical="top" wrapText="1"/>
    </xf>
    <xf numFmtId="0" fontId="15" fillId="10" borderId="0" xfId="0" applyFont="1" applyFill="1" applyAlignment="1">
      <alignment vertical="top" wrapText="1"/>
    </xf>
    <xf numFmtId="0" fontId="15" fillId="10" borderId="1" xfId="0" applyFont="1" applyFill="1" applyBorder="1" applyAlignment="1">
      <alignment vertical="top" wrapText="1"/>
    </xf>
    <xf numFmtId="0" fontId="19" fillId="2" borderId="0" xfId="0" applyFont="1" applyFill="1" applyBorder="1" applyAlignment="1">
      <alignment horizontal="left" vertical="top" wrapText="1"/>
    </xf>
    <xf numFmtId="0" fontId="20" fillId="0" borderId="0" xfId="1" applyNumberFormat="1" applyFont="1" applyFill="1" applyAlignment="1"/>
    <xf numFmtId="0" fontId="17" fillId="2" borderId="0" xfId="0" applyFont="1" applyFill="1" applyBorder="1" applyAlignment="1">
      <alignment horizontal="left"/>
    </xf>
    <xf numFmtId="164" fontId="14" fillId="2" borderId="0" xfId="0" applyNumberFormat="1" applyFont="1" applyFill="1"/>
    <xf numFmtId="164" fontId="14" fillId="2" borderId="9" xfId="0" applyNumberFormat="1" applyFont="1" applyFill="1" applyBorder="1"/>
    <xf numFmtId="168" fontId="17" fillId="2" borderId="9" xfId="0" applyNumberFormat="1" applyFont="1" applyFill="1" applyBorder="1"/>
    <xf numFmtId="165" fontId="17" fillId="2" borderId="9" xfId="0" applyNumberFormat="1" applyFont="1" applyFill="1" applyBorder="1" applyAlignment="1">
      <alignment horizontal="right"/>
    </xf>
    <xf numFmtId="168" fontId="15" fillId="2" borderId="9" xfId="0" applyNumberFormat="1" applyFont="1" applyFill="1" applyBorder="1" applyAlignment="1">
      <alignment horizontal="center"/>
    </xf>
    <xf numFmtId="168" fontId="15" fillId="2" borderId="11" xfId="0" applyNumberFormat="1" applyFont="1" applyFill="1" applyBorder="1" applyAlignment="1">
      <alignment horizontal="center"/>
    </xf>
    <xf numFmtId="168" fontId="34" fillId="2" borderId="9" xfId="0" applyNumberFormat="1" applyFont="1" applyFill="1" applyBorder="1" applyAlignment="1">
      <alignment horizontal="center"/>
    </xf>
    <xf numFmtId="168" fontId="17" fillId="2" borderId="9" xfId="0" applyNumberFormat="1" applyFont="1" applyFill="1" applyBorder="1" applyAlignment="1">
      <alignment horizontal="right"/>
    </xf>
    <xf numFmtId="44" fontId="17" fillId="2" borderId="9" xfId="3" applyFont="1" applyFill="1" applyBorder="1" applyAlignment="1">
      <alignment horizontal="right"/>
    </xf>
    <xf numFmtId="168" fontId="14" fillId="2" borderId="9" xfId="0" applyNumberFormat="1" applyFont="1" applyFill="1" applyBorder="1" applyAlignment="1">
      <alignment horizontal="right"/>
    </xf>
    <xf numFmtId="44" fontId="14" fillId="2" borderId="9" xfId="3" applyFont="1" applyFill="1" applyBorder="1" applyAlignment="1">
      <alignment horizontal="right"/>
    </xf>
    <xf numFmtId="168" fontId="14" fillId="2" borderId="11" xfId="0" applyNumberFormat="1" applyFont="1" applyFill="1" applyBorder="1" applyAlignment="1">
      <alignment horizontal="center"/>
    </xf>
    <xf numFmtId="168" fontId="33" fillId="2" borderId="9" xfId="0" applyNumberFormat="1" applyFont="1" applyFill="1" applyBorder="1" applyAlignment="1">
      <alignment horizontal="center"/>
    </xf>
    <xf numFmtId="44" fontId="15" fillId="2" borderId="9" xfId="3" applyFont="1" applyFill="1" applyBorder="1" applyAlignment="1">
      <alignment horizontal="right"/>
    </xf>
    <xf numFmtId="168" fontId="19" fillId="2" borderId="9" xfId="0" applyNumberFormat="1" applyFont="1" applyFill="1" applyBorder="1"/>
    <xf numFmtId="165" fontId="19" fillId="2" borderId="9" xfId="4" applyNumberFormat="1" applyFont="1" applyFill="1" applyBorder="1"/>
    <xf numFmtId="165" fontId="14" fillId="2" borderId="1" xfId="0" applyNumberFormat="1" applyFont="1" applyFill="1" applyBorder="1" applyAlignment="1">
      <alignment horizontal="right"/>
    </xf>
    <xf numFmtId="165" fontId="14" fillId="2" borderId="5" xfId="0" applyNumberFormat="1" applyFont="1" applyFill="1" applyBorder="1" applyAlignment="1">
      <alignment horizontal="right"/>
    </xf>
    <xf numFmtId="0" fontId="15" fillId="2" borderId="2" xfId="0" applyFont="1" applyFill="1" applyBorder="1" applyAlignment="1">
      <alignment horizontal="left" vertical="top" wrapText="1"/>
    </xf>
    <xf numFmtId="168" fontId="15" fillId="2" borderId="2" xfId="0" applyNumberFormat="1" applyFont="1" applyFill="1" applyBorder="1" applyAlignment="1">
      <alignment horizontal="center"/>
    </xf>
    <xf numFmtId="168" fontId="20" fillId="2" borderId="2" xfId="0" applyNumberFormat="1" applyFont="1" applyFill="1" applyBorder="1" applyAlignment="1">
      <alignment horizontal="center"/>
    </xf>
    <xf numFmtId="168" fontId="20" fillId="2" borderId="12" xfId="0" applyNumberFormat="1" applyFont="1" applyFill="1" applyBorder="1" applyAlignment="1">
      <alignment horizontal="center"/>
    </xf>
    <xf numFmtId="168" fontId="15" fillId="2" borderId="12" xfId="0" applyNumberFormat="1" applyFont="1" applyFill="1" applyBorder="1" applyAlignment="1">
      <alignment horizontal="center"/>
    </xf>
    <xf numFmtId="0" fontId="0" fillId="2" borderId="1" xfId="0" applyFont="1" applyFill="1" applyBorder="1"/>
    <xf numFmtId="0" fontId="21" fillId="2" borderId="0" xfId="0" applyFont="1" applyFill="1" applyBorder="1" applyAlignment="1">
      <alignment horizontal="left" vertical="top"/>
    </xf>
    <xf numFmtId="0" fontId="19" fillId="2" borderId="1" xfId="0" applyFont="1" applyFill="1" applyBorder="1" applyAlignment="1">
      <alignment horizontal="left" vertical="top" wrapText="1"/>
    </xf>
    <xf numFmtId="168" fontId="19" fillId="2" borderId="1" xfId="0" applyNumberFormat="1" applyFont="1" applyFill="1" applyBorder="1"/>
    <xf numFmtId="168" fontId="19" fillId="2" borderId="5" xfId="0" applyNumberFormat="1" applyFont="1" applyFill="1" applyBorder="1"/>
    <xf numFmtId="168" fontId="14" fillId="2" borderId="9" xfId="0" applyNumberFormat="1" applyFont="1" applyFill="1" applyBorder="1" applyAlignment="1"/>
    <xf numFmtId="168" fontId="14" fillId="2" borderId="9" xfId="0" applyNumberFormat="1" applyFont="1" applyFill="1" applyBorder="1" applyAlignment="1">
      <alignment vertical="top"/>
    </xf>
    <xf numFmtId="168" fontId="15" fillId="2" borderId="0" xfId="0" applyNumberFormat="1" applyFont="1" applyFill="1" applyBorder="1" applyAlignment="1"/>
    <xf numFmtId="168" fontId="15" fillId="2" borderId="9" xfId="0" applyNumberFormat="1" applyFont="1" applyFill="1" applyBorder="1" applyAlignment="1"/>
    <xf numFmtId="168" fontId="14" fillId="2" borderId="1" xfId="0" applyNumberFormat="1" applyFont="1" applyFill="1" applyBorder="1" applyAlignment="1"/>
    <xf numFmtId="168" fontId="14" fillId="2" borderId="5" xfId="0" applyNumberFormat="1" applyFont="1" applyFill="1" applyBorder="1" applyAlignment="1"/>
    <xf numFmtId="0" fontId="23" fillId="2" borderId="0" xfId="0" applyFont="1" applyFill="1" applyBorder="1" applyAlignment="1">
      <alignment horizontal="left"/>
    </xf>
    <xf numFmtId="0" fontId="19" fillId="2" borderId="0" xfId="0" applyFont="1" applyFill="1" applyBorder="1" applyAlignment="1">
      <alignment horizontal="right"/>
    </xf>
    <xf numFmtId="0" fontId="19" fillId="2" borderId="0" xfId="0" applyFont="1" applyFill="1" applyBorder="1"/>
    <xf numFmtId="0" fontId="19" fillId="2" borderId="0" xfId="0" applyFont="1" applyFill="1" applyBorder="1" applyAlignment="1"/>
    <xf numFmtId="0" fontId="23" fillId="2" borderId="0" xfId="0" quotePrefix="1" applyFont="1" applyFill="1" applyBorder="1" applyAlignment="1">
      <alignment horizontal="left" vertical="top"/>
    </xf>
    <xf numFmtId="0" fontId="25" fillId="2" borderId="0" xfId="0" applyFont="1" applyFill="1" applyBorder="1"/>
    <xf numFmtId="0" fontId="25" fillId="2" borderId="0" xfId="0" applyFont="1" applyFill="1" applyBorder="1" applyAlignment="1">
      <alignment horizontal="center"/>
    </xf>
    <xf numFmtId="0" fontId="15" fillId="11" borderId="0" xfId="0" applyFont="1" applyFill="1" applyAlignment="1">
      <alignment vertical="top" wrapText="1"/>
    </xf>
    <xf numFmtId="14" fontId="14" fillId="11" borderId="0" xfId="0" applyNumberFormat="1" applyFont="1" applyFill="1" applyAlignment="1">
      <alignment horizontal="center"/>
    </xf>
    <xf numFmtId="0" fontId="14" fillId="11" borderId="0" xfId="0" applyFont="1" applyFill="1"/>
    <xf numFmtId="0" fontId="14" fillId="11" borderId="9" xfId="0" applyFont="1" applyFill="1" applyBorder="1"/>
    <xf numFmtId="0" fontId="17" fillId="11" borderId="9" xfId="0" applyFont="1" applyFill="1" applyBorder="1"/>
    <xf numFmtId="0" fontId="17" fillId="11" borderId="0" xfId="0" applyFont="1" applyFill="1"/>
    <xf numFmtId="0" fontId="0" fillId="11" borderId="0" xfId="0" applyFill="1"/>
    <xf numFmtId="168" fontId="14" fillId="11" borderId="0" xfId="1" applyNumberFormat="1" applyFont="1" applyFill="1"/>
    <xf numFmtId="168" fontId="14" fillId="11" borderId="9" xfId="1" applyNumberFormat="1" applyFont="1" applyFill="1" applyBorder="1"/>
    <xf numFmtId="168" fontId="17" fillId="11" borderId="9" xfId="1" applyNumberFormat="1" applyFont="1" applyFill="1" applyBorder="1"/>
    <xf numFmtId="168" fontId="17" fillId="11" borderId="0" xfId="1" applyNumberFormat="1" applyFont="1" applyFill="1"/>
    <xf numFmtId="168" fontId="17" fillId="11" borderId="0" xfId="1" applyNumberFormat="1" applyFont="1" applyFill="1" applyAlignment="1">
      <alignment horizontal="center"/>
    </xf>
    <xf numFmtId="168" fontId="17" fillId="11" borderId="0" xfId="0" applyNumberFormat="1" applyFont="1" applyFill="1"/>
    <xf numFmtId="168" fontId="14" fillId="11" borderId="0" xfId="1" applyNumberFormat="1" applyFont="1" applyFill="1" applyAlignment="1">
      <alignment horizontal="center"/>
    </xf>
    <xf numFmtId="0" fontId="15" fillId="11" borderId="1" xfId="0" applyFont="1" applyFill="1" applyBorder="1" applyAlignment="1">
      <alignment vertical="top" wrapText="1"/>
    </xf>
    <xf numFmtId="168" fontId="14" fillId="11" borderId="1" xfId="0" applyNumberFormat="1" applyFont="1" applyFill="1" applyBorder="1"/>
    <xf numFmtId="168" fontId="14" fillId="11" borderId="5" xfId="0" applyNumberFormat="1" applyFont="1" applyFill="1" applyBorder="1"/>
    <xf numFmtId="168" fontId="17" fillId="11" borderId="5" xfId="0" applyNumberFormat="1" applyFont="1" applyFill="1" applyBorder="1"/>
    <xf numFmtId="168" fontId="17" fillId="11" borderId="1" xfId="0" applyNumberFormat="1" applyFont="1" applyFill="1" applyBorder="1"/>
    <xf numFmtId="168" fontId="17" fillId="11" borderId="1" xfId="0" applyNumberFormat="1" applyFont="1" applyFill="1" applyBorder="1" applyAlignment="1">
      <alignment horizontal="center"/>
    </xf>
    <xf numFmtId="0" fontId="0" fillId="11" borderId="1" xfId="0" applyFill="1" applyBorder="1"/>
    <xf numFmtId="168" fontId="14" fillId="11" borderId="0" xfId="0" applyNumberFormat="1" applyFont="1" applyFill="1"/>
    <xf numFmtId="0" fontId="17" fillId="11" borderId="0" xfId="0" applyFont="1" applyFill="1" applyAlignment="1">
      <alignment horizontal="center"/>
    </xf>
    <xf numFmtId="165" fontId="14" fillId="11" borderId="9" xfId="0" applyNumberFormat="1" applyFont="1" applyFill="1" applyBorder="1"/>
    <xf numFmtId="165" fontId="14" fillId="11" borderId="0" xfId="0" applyNumberFormat="1" applyFont="1" applyFill="1"/>
    <xf numFmtId="165" fontId="17" fillId="11" borderId="9" xfId="0" applyNumberFormat="1" applyFont="1" applyFill="1" applyBorder="1"/>
    <xf numFmtId="165" fontId="17" fillId="11" borderId="0" xfId="0" applyNumberFormat="1" applyFont="1" applyFill="1"/>
    <xf numFmtId="166" fontId="14" fillId="11" borderId="0" xfId="1" applyNumberFormat="1" applyFont="1" applyFill="1"/>
    <xf numFmtId="166" fontId="14" fillId="11" borderId="9" xfId="1" applyNumberFormat="1" applyFont="1" applyFill="1" applyBorder="1"/>
    <xf numFmtId="165" fontId="14" fillId="11" borderId="9" xfId="1" applyNumberFormat="1" applyFont="1" applyFill="1" applyBorder="1"/>
    <xf numFmtId="165" fontId="14" fillId="11" borderId="0" xfId="1" applyNumberFormat="1" applyFont="1" applyFill="1"/>
    <xf numFmtId="165" fontId="17" fillId="11" borderId="9" xfId="1" applyNumberFormat="1" applyFont="1" applyFill="1" applyBorder="1"/>
    <xf numFmtId="165" fontId="17" fillId="11" borderId="0" xfId="1" applyNumberFormat="1" applyFont="1" applyFill="1"/>
    <xf numFmtId="165" fontId="17" fillId="11" borderId="0" xfId="1" applyNumberFormat="1" applyFont="1" applyFill="1" applyAlignment="1">
      <alignment horizontal="center"/>
    </xf>
    <xf numFmtId="165" fontId="14" fillId="11" borderId="9" xfId="1" applyNumberFormat="1" applyFont="1" applyFill="1" applyBorder="1" applyAlignment="1">
      <alignment horizontal="right"/>
    </xf>
    <xf numFmtId="165" fontId="14" fillId="11" borderId="0" xfId="1" applyNumberFormat="1" applyFont="1" applyFill="1" applyAlignment="1">
      <alignment horizontal="right"/>
    </xf>
    <xf numFmtId="165" fontId="17" fillId="11" borderId="9" xfId="1" applyNumberFormat="1" applyFont="1" applyFill="1" applyBorder="1" applyAlignment="1">
      <alignment horizontal="right"/>
    </xf>
    <xf numFmtId="165" fontId="17" fillId="11" borderId="0" xfId="1" applyNumberFormat="1" applyFont="1" applyFill="1" applyAlignment="1">
      <alignment horizontal="right"/>
    </xf>
    <xf numFmtId="165" fontId="17" fillId="11" borderId="0" xfId="0" applyNumberFormat="1" applyFont="1" applyFill="1" applyAlignment="1">
      <alignment horizontal="right"/>
    </xf>
    <xf numFmtId="0" fontId="15" fillId="11" borderId="0" xfId="0" applyFont="1" applyFill="1" applyBorder="1" applyAlignment="1">
      <alignment horizontal="left" vertical="top" wrapText="1"/>
    </xf>
    <xf numFmtId="164" fontId="14" fillId="11" borderId="0" xfId="0" applyNumberFormat="1" applyFont="1" applyFill="1" applyAlignment="1">
      <alignment horizontal="center"/>
    </xf>
    <xf numFmtId="164" fontId="14" fillId="11" borderId="0" xfId="0" applyNumberFormat="1" applyFont="1" applyFill="1"/>
    <xf numFmtId="164" fontId="14" fillId="11" borderId="9" xfId="0" applyNumberFormat="1" applyFont="1" applyFill="1" applyBorder="1"/>
    <xf numFmtId="164" fontId="15" fillId="11" borderId="0" xfId="0" applyNumberFormat="1" applyFont="1" applyFill="1" applyBorder="1" applyAlignment="1">
      <alignment horizontal="center"/>
    </xf>
    <xf numFmtId="0" fontId="15" fillId="11" borderId="0" xfId="0" applyFont="1" applyFill="1" applyBorder="1" applyAlignment="1">
      <alignment horizontal="center"/>
    </xf>
    <xf numFmtId="0" fontId="15" fillId="11" borderId="9" xfId="0" applyFont="1" applyFill="1" applyBorder="1" applyAlignment="1">
      <alignment horizontal="center"/>
    </xf>
    <xf numFmtId="14" fontId="15" fillId="11" borderId="0" xfId="0" applyNumberFormat="1" applyFont="1" applyFill="1" applyBorder="1" applyAlignment="1">
      <alignment horizontal="center"/>
    </xf>
    <xf numFmtId="0" fontId="15" fillId="11" borderId="0" xfId="0" applyFont="1" applyFill="1" applyBorder="1"/>
    <xf numFmtId="0" fontId="2" fillId="11" borderId="0" xfId="0" applyFont="1" applyFill="1" applyBorder="1"/>
    <xf numFmtId="0" fontId="23" fillId="2" borderId="0" xfId="0" quotePrefix="1" applyFont="1" applyFill="1" applyAlignment="1">
      <alignment horizontal="left" vertical="top"/>
    </xf>
    <xf numFmtId="0" fontId="0" fillId="11" borderId="0" xfId="0" applyFill="1" applyAlignment="1">
      <alignment vertical="top" wrapText="1"/>
    </xf>
    <xf numFmtId="168" fontId="14" fillId="11" borderId="9" xfId="0" applyNumberFormat="1" applyFont="1" applyFill="1" applyBorder="1"/>
    <xf numFmtId="168" fontId="14" fillId="11" borderId="3" xfId="0" applyNumberFormat="1" applyFont="1" applyFill="1" applyBorder="1"/>
    <xf numFmtId="0" fontId="15" fillId="11" borderId="1" xfId="0" applyFont="1" applyFill="1" applyBorder="1" applyAlignment="1">
      <alignment horizontal="left" vertical="top" wrapText="1"/>
    </xf>
    <xf numFmtId="0" fontId="15" fillId="11" borderId="1" xfId="0" applyFont="1" applyFill="1" applyBorder="1" applyAlignment="1">
      <alignment horizontal="left" vertical="top"/>
    </xf>
    <xf numFmtId="0" fontId="15" fillId="11" borderId="5" xfId="0" applyFont="1" applyFill="1" applyBorder="1" applyAlignment="1">
      <alignment horizontal="left" vertical="top"/>
    </xf>
    <xf numFmtId="0" fontId="27" fillId="11" borderId="0" xfId="0" applyFont="1" applyFill="1" applyBorder="1" applyAlignment="1">
      <alignment horizontal="left" vertical="top" wrapText="1"/>
    </xf>
    <xf numFmtId="0" fontId="15" fillId="11" borderId="0" xfId="0" applyFont="1" applyFill="1" applyBorder="1" applyAlignment="1">
      <alignment horizontal="left" vertical="top"/>
    </xf>
    <xf numFmtId="0" fontId="15" fillId="11" borderId="9" xfId="0" applyFont="1" applyFill="1" applyBorder="1" applyAlignment="1">
      <alignment horizontal="left" vertical="top"/>
    </xf>
    <xf numFmtId="0" fontId="0" fillId="11" borderId="0" xfId="0" applyFill="1" applyBorder="1"/>
    <xf numFmtId="0" fontId="27" fillId="11" borderId="0" xfId="0" applyFont="1" applyFill="1" applyBorder="1" applyAlignment="1">
      <alignment horizontal="left" vertical="top"/>
    </xf>
    <xf numFmtId="0" fontId="27" fillId="11" borderId="9" xfId="0" applyFont="1" applyFill="1" applyBorder="1" applyAlignment="1">
      <alignment horizontal="left" vertical="top"/>
    </xf>
    <xf numFmtId="0" fontId="21" fillId="2" borderId="0" xfId="0" applyFont="1" applyFill="1" applyBorder="1" applyAlignment="1">
      <alignment wrapText="1"/>
    </xf>
    <xf numFmtId="0" fontId="22" fillId="2" borderId="0" xfId="0" applyFont="1" applyFill="1" applyBorder="1" applyAlignment="1"/>
    <xf numFmtId="0" fontId="17" fillId="0" borderId="0" xfId="0" applyFont="1" applyBorder="1" applyAlignment="1"/>
    <xf numFmtId="164" fontId="0" fillId="2" borderId="0" xfId="0" applyNumberFormat="1" applyFill="1" applyBorder="1" applyAlignment="1">
      <alignment horizontal="center"/>
    </xf>
    <xf numFmtId="43" fontId="14" fillId="2" borderId="0" xfId="0" applyNumberFormat="1" applyFont="1" applyFill="1" applyBorder="1"/>
    <xf numFmtId="0" fontId="0" fillId="2" borderId="0" xfId="0" applyFill="1" applyBorder="1" applyAlignment="1">
      <alignment horizontal="left"/>
    </xf>
    <xf numFmtId="14" fontId="14" fillId="2" borderId="0" xfId="0" applyNumberFormat="1" applyFont="1" applyFill="1" applyBorder="1" applyAlignment="1">
      <alignment horizontal="center"/>
    </xf>
    <xf numFmtId="173" fontId="14" fillId="2" borderId="9" xfId="1" applyNumberFormat="1" applyFont="1" applyFill="1" applyBorder="1" applyAlignment="1">
      <alignment horizontal="right"/>
    </xf>
    <xf numFmtId="165" fontId="17" fillId="2" borderId="4" xfId="1" applyNumberFormat="1" applyFont="1" applyFill="1" applyBorder="1" applyAlignment="1">
      <alignment horizontal="right"/>
    </xf>
    <xf numFmtId="165" fontId="20" fillId="2" borderId="11" xfId="1" applyNumberFormat="1" applyFont="1" applyFill="1" applyBorder="1" applyAlignment="1">
      <alignment horizontal="right"/>
    </xf>
    <xf numFmtId="168" fontId="0" fillId="2" borderId="0" xfId="0" applyNumberFormat="1" applyFill="1"/>
    <xf numFmtId="168" fontId="0" fillId="2" borderId="1" xfId="0" applyNumberFormat="1" applyFill="1" applyBorder="1"/>
    <xf numFmtId="0" fontId="2" fillId="2" borderId="0" xfId="0" applyFont="1" applyFill="1" applyAlignment="1">
      <alignment horizontal="center"/>
    </xf>
    <xf numFmtId="14" fontId="25" fillId="9" borderId="1" xfId="0" applyNumberFormat="1" applyFont="1" applyFill="1" applyBorder="1" applyAlignment="1">
      <alignment horizontal="center" wrapText="1"/>
    </xf>
    <xf numFmtId="0" fontId="21" fillId="2" borderId="0" xfId="0" applyFont="1" applyFill="1" applyBorder="1" applyAlignment="1">
      <alignment wrapText="1"/>
    </xf>
    <xf numFmtId="0" fontId="22" fillId="2" borderId="0" xfId="0" applyFont="1" applyFill="1" applyBorder="1" applyAlignment="1"/>
    <xf numFmtId="0" fontId="15" fillId="2" borderId="0" xfId="0" applyFont="1" applyFill="1" applyAlignment="1">
      <alignment horizontal="center"/>
    </xf>
    <xf numFmtId="0" fontId="15" fillId="0" borderId="1" xfId="0" applyFont="1" applyBorder="1" applyAlignment="1">
      <alignment horizontal="center"/>
    </xf>
    <xf numFmtId="0" fontId="12" fillId="0" borderId="0" xfId="0" applyFont="1" applyFill="1" applyBorder="1" applyAlignment="1">
      <alignment horizontal="center"/>
    </xf>
    <xf numFmtId="0" fontId="38" fillId="0" borderId="0" xfId="0" applyFont="1" applyBorder="1" applyAlignment="1">
      <alignment wrapText="1"/>
    </xf>
    <xf numFmtId="0" fontId="32" fillId="0" borderId="0" xfId="0" applyFont="1" applyBorder="1" applyAlignment="1"/>
    <xf numFmtId="0" fontId="38" fillId="2" borderId="0" xfId="0" applyFont="1" applyFill="1" applyBorder="1" applyAlignment="1">
      <alignment wrapText="1"/>
    </xf>
    <xf numFmtId="0" fontId="17" fillId="0" borderId="0" xfId="0" applyFont="1" applyBorder="1" applyAlignment="1"/>
    <xf numFmtId="0" fontId="23" fillId="2" borderId="0" xfId="0" quotePrefix="1" applyFont="1" applyFill="1" applyBorder="1" applyAlignment="1">
      <alignment horizontal="left" wrapText="1"/>
    </xf>
    <xf numFmtId="0" fontId="0" fillId="0" borderId="0" xfId="0" applyAlignment="1">
      <alignment wrapText="1"/>
    </xf>
    <xf numFmtId="0" fontId="29" fillId="2" borderId="0" xfId="0" applyFont="1" applyFill="1" applyAlignment="1">
      <alignment horizontal="left" wrapText="1"/>
    </xf>
    <xf numFmtId="0" fontId="14" fillId="2" borderId="0" xfId="0" applyFont="1" applyFill="1" applyAlignment="1">
      <alignment horizontal="left" wrapText="1"/>
    </xf>
    <xf numFmtId="0" fontId="29" fillId="2" borderId="0" xfId="0" applyFont="1" applyFill="1" applyAlignment="1">
      <alignment wrapText="1"/>
    </xf>
    <xf numFmtId="0" fontId="14" fillId="2" borderId="0" xfId="0" applyFont="1" applyFill="1" applyAlignment="1">
      <alignment wrapText="1"/>
    </xf>
    <xf numFmtId="0" fontId="24" fillId="2" borderId="0" xfId="0" applyFont="1" applyFill="1" applyAlignment="1">
      <alignment wrapText="1"/>
    </xf>
  </cellXfs>
  <cellStyles count="5">
    <cellStyle name="Comma" xfId="1" builtinId="3"/>
    <cellStyle name="Currency" xfId="3" builtinId="4"/>
    <cellStyle name="Hyperlink" xfId="2" builtinId="8"/>
    <cellStyle name="Normal" xfId="0" builtinId="0"/>
    <cellStyle name="Percent" xfId="4" builtinId="5"/>
  </cellStyles>
  <dxfs count="0"/>
  <tableStyles count="0" defaultTableStyle="TableStyleMedium2" defaultPivotStyle="PivotStyleLight16"/>
  <colors>
    <mruColors>
      <color rgb="FFBFBFBF"/>
      <color rgb="FF006A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verizon.com/about/investors/quarterly-reports/2q-2017-quarter-earnings-conference-call-webcast" TargetMode="External"/><Relationship Id="rId3" Type="http://schemas.openxmlformats.org/officeDocument/2006/relationships/hyperlink" Target="https://ir.netflix.com/results.cfm" TargetMode="External"/><Relationship Id="rId7" Type="http://schemas.openxmlformats.org/officeDocument/2006/relationships/hyperlink" Target="http://apps.indigotools.com/IR/IAC/?Ticker=BA&amp;Exchange=NYSE" TargetMode="External"/><Relationship Id="rId2" Type="http://schemas.openxmlformats.org/officeDocument/2006/relationships/hyperlink" Target="https://www.microsoft.com/en-us/Investor/earnings/FY-2017-Q4/press-release-webcast" TargetMode="External"/><Relationship Id="rId1" Type="http://schemas.openxmlformats.org/officeDocument/2006/relationships/hyperlink" Target="https://investors.att.com/financial-reports/quarterly-earnings/2017" TargetMode="External"/><Relationship Id="rId6" Type="http://schemas.openxmlformats.org/officeDocument/2006/relationships/hyperlink" Target="https://www.bnymellon.com/us/en/investor-relations/financial-reports.jsp" TargetMode="External"/><Relationship Id="rId5" Type="http://schemas.openxmlformats.org/officeDocument/2006/relationships/hyperlink" Target="http://apps.indigotools.com/IR/IAC/?Ticker=CTSH&amp;Exchange=NASDAQGS" TargetMode="External"/><Relationship Id="rId4" Type="http://schemas.openxmlformats.org/officeDocument/2006/relationships/hyperlink" Target="http://investor.accenture.com/~/media/Files/A/Accenture-IR/investor-toolkit/accenture-supporting-materials-q3fy17.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rounddown(SUM(M34:M37),1)"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36"/>
  <sheetViews>
    <sheetView workbookViewId="0">
      <selection activeCell="B37" sqref="B37"/>
    </sheetView>
  </sheetViews>
  <sheetFormatPr defaultColWidth="9.109375" defaultRowHeight="14.4"/>
  <cols>
    <col min="1" max="1" width="9.109375" style="2"/>
    <col min="2" max="2" width="16.33203125" style="7" bestFit="1" customWidth="1"/>
    <col min="3" max="3" width="0.6640625" style="2" customWidth="1"/>
    <col min="4" max="16384" width="9.109375" style="2"/>
  </cols>
  <sheetData>
    <row r="3" spans="2:5">
      <c r="B3" s="33" t="s">
        <v>56</v>
      </c>
      <c r="D3" s="2" t="s">
        <v>57</v>
      </c>
    </row>
    <row r="4" spans="2:5" ht="2.25" customHeight="1"/>
    <row r="5" spans="2:5">
      <c r="B5" s="34" t="s">
        <v>59</v>
      </c>
      <c r="D5" s="2" t="s">
        <v>60</v>
      </c>
    </row>
    <row r="6" spans="2:5" ht="2.25" customHeight="1"/>
    <row r="7" spans="2:5">
      <c r="B7" s="29" t="s">
        <v>58</v>
      </c>
      <c r="D7" s="2" t="s">
        <v>80</v>
      </c>
    </row>
    <row r="8" spans="2:5" ht="2.25" customHeight="1">
      <c r="B8" s="29"/>
    </row>
    <row r="9" spans="2:5">
      <c r="B9" s="35" t="s">
        <v>61</v>
      </c>
      <c r="D9" s="2" t="s">
        <v>62</v>
      </c>
    </row>
    <row r="14" spans="2:5">
      <c r="B14" s="489" t="s">
        <v>63</v>
      </c>
      <c r="C14" s="489"/>
      <c r="D14" s="489"/>
      <c r="E14" s="489"/>
    </row>
    <row r="15" spans="2:5">
      <c r="B15" s="7" t="s">
        <v>67</v>
      </c>
      <c r="D15" s="36" t="s">
        <v>68</v>
      </c>
    </row>
    <row r="16" spans="2:5">
      <c r="B16" s="7" t="s">
        <v>65</v>
      </c>
      <c r="D16" s="36" t="s">
        <v>69</v>
      </c>
    </row>
    <row r="17" spans="2:4">
      <c r="B17" s="7" t="s">
        <v>66</v>
      </c>
      <c r="D17" s="36" t="s">
        <v>70</v>
      </c>
    </row>
    <row r="18" spans="2:4">
      <c r="B18" s="7" t="s">
        <v>64</v>
      </c>
      <c r="D18" s="36" t="s">
        <v>71</v>
      </c>
    </row>
    <row r="19" spans="2:4">
      <c r="B19" s="7" t="s">
        <v>72</v>
      </c>
      <c r="D19" s="36" t="s">
        <v>73</v>
      </c>
    </row>
    <row r="20" spans="2:4">
      <c r="B20" s="7" t="s">
        <v>74</v>
      </c>
      <c r="D20" s="36" t="s">
        <v>75</v>
      </c>
    </row>
    <row r="21" spans="2:4">
      <c r="B21" s="7" t="s">
        <v>77</v>
      </c>
      <c r="D21" s="36" t="s">
        <v>76</v>
      </c>
    </row>
    <row r="22" spans="2:4">
      <c r="B22" s="7" t="s">
        <v>78</v>
      </c>
      <c r="D22" s="36" t="s">
        <v>79</v>
      </c>
    </row>
    <row r="25" spans="2:4">
      <c r="B25" s="7" t="s">
        <v>83</v>
      </c>
    </row>
    <row r="26" spans="2:4">
      <c r="B26" s="7">
        <v>1</v>
      </c>
      <c r="D26" s="2" t="s">
        <v>84</v>
      </c>
    </row>
    <row r="27" spans="2:4">
      <c r="B27" s="7">
        <v>2</v>
      </c>
      <c r="D27" s="2" t="s">
        <v>86</v>
      </c>
    </row>
    <row r="28" spans="2:4">
      <c r="B28" s="7">
        <v>3</v>
      </c>
      <c r="D28" s="2" t="s">
        <v>85</v>
      </c>
    </row>
    <row r="30" spans="2:4">
      <c r="B30" s="7" t="s">
        <v>87</v>
      </c>
    </row>
    <row r="31" spans="2:4">
      <c r="B31" s="7">
        <v>1</v>
      </c>
      <c r="D31" s="2" t="s">
        <v>88</v>
      </c>
    </row>
    <row r="32" spans="2:4">
      <c r="B32" s="7">
        <v>2</v>
      </c>
      <c r="D32" s="2" t="s">
        <v>89</v>
      </c>
    </row>
    <row r="33" spans="2:4">
      <c r="B33" s="7">
        <v>3</v>
      </c>
      <c r="D33" s="2" t="s">
        <v>90</v>
      </c>
    </row>
    <row r="34" spans="2:4">
      <c r="B34" s="7">
        <v>4</v>
      </c>
      <c r="D34" s="2" t="s">
        <v>91</v>
      </c>
    </row>
    <row r="35" spans="2:4">
      <c r="B35" s="7">
        <v>5</v>
      </c>
      <c r="D35" s="2" t="s">
        <v>92</v>
      </c>
    </row>
    <row r="36" spans="2:4">
      <c r="B36" s="7">
        <v>6</v>
      </c>
      <c r="D36" s="2" t="s">
        <v>93</v>
      </c>
    </row>
  </sheetData>
  <mergeCells count="1">
    <mergeCell ref="B14:E14"/>
  </mergeCells>
  <hyperlinks>
    <hyperlink ref="D15" r:id="rId1"/>
    <hyperlink ref="D16" r:id="rId2"/>
    <hyperlink ref="D17" r:id="rId3"/>
    <hyperlink ref="D18" r:id="rId4"/>
    <hyperlink ref="D19" r:id="rId5"/>
    <hyperlink ref="D20" r:id="rId6"/>
    <hyperlink ref="D21" r:id="rId7"/>
    <hyperlink ref="D22"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5"/>
  <sheetViews>
    <sheetView workbookViewId="0">
      <pane xSplit="3" ySplit="2" topLeftCell="L3" activePane="bottomRight" state="frozen"/>
      <selection pane="topRight" activeCell="D1" sqref="D1"/>
      <selection pane="bottomLeft" activeCell="A3" sqref="A3"/>
      <selection pane="bottomRight" activeCell="Z3" sqref="Z3"/>
    </sheetView>
  </sheetViews>
  <sheetFormatPr defaultColWidth="9.33203125" defaultRowHeight="14.4" outlineLevelCol="1"/>
  <cols>
    <col min="1" max="1" width="9.33203125" style="2"/>
    <col min="2" max="2" width="45.5546875" style="71" customWidth="1"/>
    <col min="3" max="3" width="4.33203125" style="2" customWidth="1"/>
    <col min="4" max="4" width="9.33203125" style="2" customWidth="1" outlineLevel="1"/>
    <col min="5" max="7" width="9.33203125" style="2" outlineLevel="1"/>
    <col min="8" max="8" width="9.33203125" style="65"/>
    <col min="9" max="9" width="9.33203125" style="65" outlineLevel="1"/>
    <col min="10" max="12" width="9.33203125" style="2" outlineLevel="1"/>
    <col min="13" max="13" width="9.33203125" style="65"/>
    <col min="14" max="14" width="9.33203125" style="65" outlineLevel="1"/>
    <col min="15" max="17" width="9.33203125" style="2" outlineLevel="1"/>
    <col min="18" max="18" width="9.33203125" style="65"/>
    <col min="19" max="19" width="9.33203125" style="65" outlineLevel="1"/>
    <col min="20" max="22" width="9.33203125" style="2" outlineLevel="1"/>
    <col min="23" max="16384" width="9.33203125" style="2"/>
  </cols>
  <sheetData>
    <row r="1" spans="1:23">
      <c r="A1" s="184" t="s">
        <v>208</v>
      </c>
      <c r="B1" s="184"/>
      <c r="C1" s="74"/>
      <c r="D1" s="74"/>
      <c r="E1" s="74"/>
      <c r="F1" s="74"/>
      <c r="G1" s="74"/>
      <c r="H1" s="74"/>
      <c r="I1" s="481"/>
      <c r="J1" s="74"/>
      <c r="K1" s="74"/>
      <c r="L1" s="74"/>
      <c r="M1" s="74"/>
      <c r="N1" s="74"/>
      <c r="O1" s="74"/>
      <c r="P1" s="74"/>
      <c r="Q1" s="74"/>
      <c r="R1" s="74"/>
      <c r="S1" s="74"/>
      <c r="T1" s="74"/>
      <c r="U1" s="74"/>
      <c r="V1" s="13"/>
      <c r="W1" s="13"/>
    </row>
    <row r="2" spans="1:23">
      <c r="A2" s="85" t="s">
        <v>207</v>
      </c>
      <c r="B2" s="184"/>
      <c r="C2" s="74"/>
      <c r="D2" s="108" t="s">
        <v>43</v>
      </c>
      <c r="E2" s="108" t="s">
        <v>46</v>
      </c>
      <c r="F2" s="108" t="s">
        <v>45</v>
      </c>
      <c r="G2" s="108" t="s">
        <v>44</v>
      </c>
      <c r="H2" s="108">
        <v>2014</v>
      </c>
      <c r="I2" s="108" t="s">
        <v>39</v>
      </c>
      <c r="J2" s="108" t="s">
        <v>42</v>
      </c>
      <c r="K2" s="108" t="s">
        <v>41</v>
      </c>
      <c r="L2" s="108" t="s">
        <v>40</v>
      </c>
      <c r="M2" s="108">
        <v>2015</v>
      </c>
      <c r="N2" s="108" t="s">
        <v>38</v>
      </c>
      <c r="O2" s="108" t="s">
        <v>37</v>
      </c>
      <c r="P2" s="108" t="s">
        <v>36</v>
      </c>
      <c r="Q2" s="108" t="s">
        <v>35</v>
      </c>
      <c r="R2" s="108">
        <v>2016</v>
      </c>
      <c r="S2" s="108" t="s">
        <v>34</v>
      </c>
      <c r="T2" s="108" t="s">
        <v>33</v>
      </c>
      <c r="U2" s="108" t="s">
        <v>52</v>
      </c>
      <c r="V2" s="108" t="s">
        <v>256</v>
      </c>
      <c r="W2" s="108">
        <v>2017</v>
      </c>
    </row>
    <row r="3" spans="1:23">
      <c r="A3" s="75"/>
      <c r="B3" s="151"/>
      <c r="C3" s="76"/>
      <c r="D3" s="76"/>
      <c r="E3" s="76"/>
      <c r="F3" s="76"/>
      <c r="G3" s="76"/>
      <c r="H3" s="160"/>
      <c r="I3" s="160"/>
      <c r="J3" s="76"/>
      <c r="K3" s="76"/>
      <c r="L3" s="76"/>
      <c r="M3" s="160"/>
      <c r="N3" s="160"/>
      <c r="O3" s="76"/>
      <c r="P3" s="76"/>
      <c r="Q3" s="76"/>
      <c r="R3" s="160"/>
      <c r="S3" s="160"/>
      <c r="T3" s="76"/>
      <c r="U3" s="76"/>
      <c r="V3" s="76"/>
      <c r="W3" s="160"/>
    </row>
    <row r="4" spans="1:23">
      <c r="A4" s="151" t="s">
        <v>200</v>
      </c>
      <c r="B4" s="151"/>
      <c r="C4" s="104"/>
      <c r="D4" s="248">
        <f>+'Income Statement History'!B29</f>
        <v>67.663041433384521</v>
      </c>
      <c r="E4" s="247">
        <f>+'Income Statement History'!C29</f>
        <v>105.46387153804508</v>
      </c>
      <c r="F4" s="247">
        <f>+'Income Statement History'!D29</f>
        <v>107.09930468078814</v>
      </c>
      <c r="G4" s="247">
        <f>+'Income Statement History'!E29</f>
        <v>204.27628679484687</v>
      </c>
      <c r="H4" s="248">
        <f>+'Income Statement History'!F29</f>
        <v>484.50250444706467</v>
      </c>
      <c r="I4" s="248">
        <f>+'Income Statement History'!G29</f>
        <v>92.937367173251943</v>
      </c>
      <c r="J4" s="247">
        <f>+'Income Statement History'!H29</f>
        <v>125.02854522588997</v>
      </c>
      <c r="K4" s="247">
        <f>+'Income Statement History'!I29</f>
        <v>149.12260777022337</v>
      </c>
      <c r="L4" s="247">
        <f>+'Income Statement History'!J29</f>
        <v>180.04364408775149</v>
      </c>
      <c r="M4" s="248">
        <f>+'Income Statement History'!K29</f>
        <v>547.13216425711698</v>
      </c>
      <c r="N4" s="248">
        <f>+'Income Statement History'!L29</f>
        <v>82.166848719418439</v>
      </c>
      <c r="O4" s="247">
        <f>+'Income Statement History'!M29</f>
        <v>121.66871767114918</v>
      </c>
      <c r="P4" s="247">
        <f>+'Income Statement History'!N29</f>
        <v>104.16258074985029</v>
      </c>
      <c r="Q4" s="247">
        <f>+'Income Statement History'!O29</f>
        <v>263.98709240378611</v>
      </c>
      <c r="R4" s="248">
        <f>+'Income Statement History'!P29</f>
        <v>571.98523954420386</v>
      </c>
      <c r="S4" s="248">
        <f>+'Income Statement History'!Q29</f>
        <v>129.68848291399428</v>
      </c>
      <c r="T4" s="247">
        <f>+'Income Statement History'!R29</f>
        <v>197.13827446682049</v>
      </c>
      <c r="U4" s="247">
        <f>+'Income Statement History'!S29</f>
        <v>196.29999999999995</v>
      </c>
      <c r="V4" s="247">
        <f>+'Income Statement History'!T29</f>
        <v>168.35100000000028</v>
      </c>
      <c r="W4" s="248">
        <f>+'Income Statement History'!U29</f>
        <v>691.47775738081486</v>
      </c>
    </row>
    <row r="5" spans="1:23">
      <c r="A5" s="151"/>
      <c r="B5" s="151"/>
      <c r="C5" s="104"/>
      <c r="D5" s="76"/>
      <c r="E5" s="76"/>
      <c r="F5" s="76"/>
      <c r="G5" s="76"/>
      <c r="H5" s="160"/>
      <c r="I5" s="160"/>
      <c r="J5" s="76"/>
      <c r="K5" s="76"/>
      <c r="L5" s="76"/>
      <c r="M5" s="160"/>
      <c r="N5" s="160"/>
      <c r="O5" s="76"/>
      <c r="P5" s="76"/>
      <c r="Q5" s="76"/>
      <c r="R5" s="160"/>
      <c r="S5" s="160"/>
      <c r="T5" s="76"/>
      <c r="U5" s="158"/>
      <c r="V5" s="158"/>
      <c r="W5" s="160"/>
    </row>
    <row r="6" spans="1:23">
      <c r="A6" s="151" t="s">
        <v>165</v>
      </c>
      <c r="B6" s="151"/>
      <c r="C6" s="104"/>
      <c r="D6" s="76"/>
      <c r="E6" s="76"/>
      <c r="F6" s="76"/>
      <c r="G6" s="76"/>
      <c r="H6" s="160"/>
      <c r="I6" s="160"/>
      <c r="J6" s="76"/>
      <c r="K6" s="76"/>
      <c r="L6" s="76"/>
      <c r="M6" s="160"/>
      <c r="N6" s="160"/>
      <c r="O6" s="76"/>
      <c r="P6" s="76"/>
      <c r="Q6" s="76"/>
      <c r="R6" s="160"/>
      <c r="S6" s="160"/>
      <c r="T6" s="76"/>
      <c r="U6" s="158"/>
      <c r="V6" s="158"/>
      <c r="W6" s="160"/>
    </row>
    <row r="7" spans="1:23">
      <c r="A7" s="151" t="s">
        <v>201</v>
      </c>
      <c r="B7" s="151"/>
      <c r="C7" s="104"/>
      <c r="D7" s="191">
        <f>+'Income Statement History'!B12</f>
        <v>65.202766461531496</v>
      </c>
      <c r="E7" s="191">
        <f>+'Income Statement History'!C12</f>
        <v>63.295314906092401</v>
      </c>
      <c r="F7" s="191">
        <f>+'Income Statement History'!D12</f>
        <v>67.159281426814204</v>
      </c>
      <c r="G7" s="191">
        <f>+'Income Statement History'!E12</f>
        <v>69.444182211291292</v>
      </c>
      <c r="H7" s="188">
        <f>+'Income Statement History'!F12</f>
        <v>265.10154500572941</v>
      </c>
      <c r="I7" s="188">
        <f>+'Income Statement History'!G12</f>
        <v>69.845710618401796</v>
      </c>
      <c r="J7" s="191">
        <f>+'Income Statement History'!H12</f>
        <v>70.605130248105297</v>
      </c>
      <c r="K7" s="191">
        <f>+'Income Statement History'!I12</f>
        <v>75.047208443487705</v>
      </c>
      <c r="L7" s="191">
        <f>+'Income Statement History'!J12</f>
        <v>98.5983048086091</v>
      </c>
      <c r="M7" s="188">
        <f>+'Income Statement History'!K12</f>
        <v>314.09635411860393</v>
      </c>
      <c r="N7" s="188">
        <f>+'Income Statement History'!L12</f>
        <v>86.993847200234697</v>
      </c>
      <c r="O7" s="191">
        <f>+'Income Statement History'!M12</f>
        <v>90.267776900454592</v>
      </c>
      <c r="P7" s="191">
        <f>+'Income Statement History'!N12</f>
        <v>92.725636387581304</v>
      </c>
      <c r="Q7" s="191">
        <f>+'Income Statement History'!O12</f>
        <v>96.939862713217607</v>
      </c>
      <c r="R7" s="188">
        <f>+'Income Statement History'!P12</f>
        <v>366.9271232014882</v>
      </c>
      <c r="S7" s="188">
        <f>+'Income Statement History'!Q12</f>
        <v>94</v>
      </c>
      <c r="T7" s="191">
        <f>+'Income Statement History'!R12</f>
        <v>100.399</v>
      </c>
      <c r="U7" s="191">
        <f>+'Income Statement History'!S12</f>
        <v>102.65</v>
      </c>
      <c r="V7" s="191">
        <f>+'Income Statement History'!T12</f>
        <v>109.1</v>
      </c>
      <c r="W7" s="188">
        <f>+'Income Statement History'!U12</f>
        <v>406.149</v>
      </c>
    </row>
    <row r="8" spans="1:23">
      <c r="A8" s="151" t="s">
        <v>202</v>
      </c>
      <c r="B8" s="151"/>
      <c r="C8" s="104"/>
      <c r="D8" s="191">
        <f>+'Income Statement History'!B22</f>
        <v>28.015263369092597</v>
      </c>
      <c r="E8" s="191">
        <f>+'Income Statement History'!C22</f>
        <v>28.468798514798102</v>
      </c>
      <c r="F8" s="191">
        <f>+'Income Statement History'!D22</f>
        <v>27.842222032849502</v>
      </c>
      <c r="G8" s="191">
        <f>+'Income Statement History'!E22</f>
        <v>27.708182963001502</v>
      </c>
      <c r="H8" s="188">
        <f>+'Income Statement History'!F22</f>
        <v>112.03446687974171</v>
      </c>
      <c r="I8" s="188">
        <f>+'Income Statement History'!G22</f>
        <v>26.2148484667464</v>
      </c>
      <c r="J8" s="191">
        <f>+'Income Statement History'!H22</f>
        <v>26.152030757952701</v>
      </c>
      <c r="K8" s="191">
        <f>+'Income Statement History'!I22</f>
        <v>30.699450629264298</v>
      </c>
      <c r="L8" s="191">
        <f>+'Income Statement History'!J22</f>
        <v>35.813143589120003</v>
      </c>
      <c r="M8" s="188">
        <f>+'Income Statement History'!K22</f>
        <v>118.8794734430834</v>
      </c>
      <c r="N8" s="188">
        <f>+'Income Statement History'!L22</f>
        <v>34.789856795883601</v>
      </c>
      <c r="O8" s="191">
        <f>+'Income Statement History'!M22</f>
        <v>36.987799288212905</v>
      </c>
      <c r="P8" s="191">
        <f>+'Income Statement History'!N22</f>
        <v>37.272195935232496</v>
      </c>
      <c r="Q8" s="191">
        <f>+'Income Statement History'!O22</f>
        <v>35.799103357609098</v>
      </c>
      <c r="R8" s="188">
        <f>+'Income Statement History'!P22</f>
        <v>144.84895537693808</v>
      </c>
      <c r="S8" s="188">
        <f>+'Income Statement History'!Q22</f>
        <v>34.010498612018694</v>
      </c>
      <c r="T8" s="191">
        <f>+'Income Statement History'!R22</f>
        <v>35.429171968104306</v>
      </c>
      <c r="U8" s="191">
        <f>+'Income Statement History'!S22</f>
        <v>34.5</v>
      </c>
      <c r="V8" s="191">
        <f>+'Income Statement History'!T22</f>
        <v>32.9</v>
      </c>
      <c r="W8" s="188">
        <f>+'Income Statement History'!U22</f>
        <v>136.839670580123</v>
      </c>
    </row>
    <row r="9" spans="1:23">
      <c r="A9" s="151" t="s">
        <v>203</v>
      </c>
      <c r="B9" s="151"/>
      <c r="C9" s="104"/>
      <c r="D9" s="191">
        <f>+'Income Statement History'!B25</f>
        <v>37.901732012088097</v>
      </c>
      <c r="E9" s="191">
        <f>+'Income Statement History'!C25</f>
        <v>64.111906896356103</v>
      </c>
      <c r="F9" s="191">
        <f>+'Income Statement History'!D25</f>
        <v>69.303715435982795</v>
      </c>
      <c r="G9" s="191">
        <f>+'Income Statement History'!E25</f>
        <v>92.442222759878206</v>
      </c>
      <c r="H9" s="188">
        <f>+'Income Statement History'!F25</f>
        <v>263.75957710430521</v>
      </c>
      <c r="I9" s="188">
        <f>+'Income Statement History'!G25</f>
        <v>56.902592932391194</v>
      </c>
      <c r="J9" s="191">
        <f>+'Income Statement History'!H25</f>
        <v>76.474833443600303</v>
      </c>
      <c r="K9" s="191">
        <f>+'Income Statement History'!I25</f>
        <v>72.865337187835607</v>
      </c>
      <c r="L9" s="191">
        <f>+'Income Statement History'!J25</f>
        <v>114.609783548585</v>
      </c>
      <c r="M9" s="188">
        <f>+'Income Statement History'!K25</f>
        <v>320.85254711241214</v>
      </c>
      <c r="N9" s="188">
        <f>+'Income Statement History'!L25</f>
        <v>50.125645406670699</v>
      </c>
      <c r="O9" s="191">
        <f>+'Income Statement History'!M25</f>
        <v>64.037721589867999</v>
      </c>
      <c r="P9" s="191">
        <f>+'Income Statement History'!N25</f>
        <v>51.413967615637695</v>
      </c>
      <c r="Q9" s="191">
        <f>+'Income Statement History'!O25</f>
        <v>131.08400677319699</v>
      </c>
      <c r="R9" s="188">
        <f>+'Income Statement History'!P25</f>
        <v>296.66134138537336</v>
      </c>
      <c r="S9" s="188">
        <f>+'Income Statement History'!Q25</f>
        <v>51.272918598344994</v>
      </c>
      <c r="T9" s="191">
        <f>+'Income Statement History'!R25</f>
        <v>68.362147821845298</v>
      </c>
      <c r="U9" s="191">
        <f>+'Income Statement History'!S25</f>
        <v>76.2</v>
      </c>
      <c r="V9" s="191">
        <f>+'Income Statement History'!T25</f>
        <v>270.3</v>
      </c>
      <c r="W9" s="188">
        <f>+'Income Statement History'!U25</f>
        <v>466.1350664201903</v>
      </c>
    </row>
    <row r="10" spans="1:23">
      <c r="A10" s="151" t="s">
        <v>223</v>
      </c>
      <c r="B10" s="151"/>
      <c r="C10" s="104"/>
      <c r="D10" s="191">
        <f>+'Income Statement History'!B34</f>
        <v>0</v>
      </c>
      <c r="E10" s="191">
        <f>+'Income Statement History'!C34</f>
        <v>0</v>
      </c>
      <c r="F10" s="191">
        <f>+'Income Statement History'!D34</f>
        <v>23.086700390000001</v>
      </c>
      <c r="G10" s="191">
        <f>+'Income Statement History'!E34</f>
        <v>0</v>
      </c>
      <c r="H10" s="188">
        <f>+'Income Statement History'!F34</f>
        <v>23.086700390000001</v>
      </c>
      <c r="I10" s="188">
        <f>+'Income Statement History'!G34</f>
        <v>2.6854230699999997</v>
      </c>
      <c r="J10" s="191">
        <f>+'Income Statement History'!H34</f>
        <v>0</v>
      </c>
      <c r="K10" s="191">
        <f>+'Income Statement History'!I34</f>
        <v>0</v>
      </c>
      <c r="L10" s="191">
        <f>+'Income Statement History'!J34</f>
        <v>0</v>
      </c>
      <c r="M10" s="188">
        <f>+'Income Statement History'!K34</f>
        <v>2.6854230699999997</v>
      </c>
      <c r="N10" s="188">
        <f>+'Income Statement History'!L34</f>
        <v>0</v>
      </c>
      <c r="O10" s="191">
        <f>+'Income Statement History'!M34</f>
        <v>0</v>
      </c>
      <c r="P10" s="191">
        <f>+'Income Statement History'!N34</f>
        <v>0</v>
      </c>
      <c r="Q10" s="191">
        <f>+'Income Statement History'!O34</f>
        <v>0</v>
      </c>
      <c r="R10" s="188">
        <f>+'Income Statement History'!P34</f>
        <v>0</v>
      </c>
      <c r="S10" s="188">
        <f>+'Income Statement History'!Q34</f>
        <v>0</v>
      </c>
      <c r="T10" s="191">
        <f>+'Income Statement History'!R34</f>
        <v>0</v>
      </c>
      <c r="U10" s="191">
        <f>+'Income Statement History'!S34</f>
        <v>0</v>
      </c>
      <c r="V10" s="191">
        <f>+'Income Statement History'!T34</f>
        <v>0</v>
      </c>
      <c r="W10" s="188">
        <f>+'Income Statement History'!U34</f>
        <v>0</v>
      </c>
    </row>
    <row r="11" spans="1:23">
      <c r="A11" s="151" t="s">
        <v>199</v>
      </c>
      <c r="B11" s="151"/>
      <c r="C11" s="104"/>
      <c r="D11" s="191"/>
      <c r="E11" s="191"/>
      <c r="F11" s="191"/>
      <c r="G11" s="191"/>
      <c r="H11" s="188"/>
      <c r="I11" s="188"/>
      <c r="J11" s="191"/>
      <c r="K11" s="191"/>
      <c r="L11" s="191"/>
      <c r="M11" s="188"/>
      <c r="N11" s="188"/>
      <c r="O11" s="191"/>
      <c r="P11" s="191"/>
      <c r="Q11" s="191"/>
      <c r="R11" s="188"/>
      <c r="S11" s="188"/>
      <c r="T11" s="191"/>
      <c r="U11" s="249"/>
      <c r="V11" s="249"/>
      <c r="W11" s="188"/>
    </row>
    <row r="12" spans="1:23" s="19" customFormat="1">
      <c r="A12" s="182" t="s">
        <v>204</v>
      </c>
      <c r="B12" s="182"/>
      <c r="C12" s="215"/>
      <c r="D12" s="250">
        <f>+'Income Statement History'!B21</f>
        <v>1.5768492262559701</v>
      </c>
      <c r="E12" s="250">
        <f>+'Income Statement History'!C21</f>
        <v>1.14612861913218</v>
      </c>
      <c r="F12" s="250">
        <f>+'Income Statement History'!D21</f>
        <v>1.59791437692774</v>
      </c>
      <c r="G12" s="250">
        <f>+'Income Statement History'!E21</f>
        <v>1.9120565081390202</v>
      </c>
      <c r="H12" s="251">
        <f>+'Income Statement History'!F21</f>
        <v>6.2329487304549103</v>
      </c>
      <c r="I12" s="251">
        <f>+'Income Statement History'!G21</f>
        <v>2.29743926781111</v>
      </c>
      <c r="J12" s="250">
        <f>+'Income Statement History'!H21</f>
        <v>1.4010934844382301</v>
      </c>
      <c r="K12" s="250">
        <f>+'Income Statement History'!I21</f>
        <v>1.1579735964323401</v>
      </c>
      <c r="L12" s="250">
        <f>+'Income Statement History'!J21</f>
        <v>1.4548280659778501</v>
      </c>
      <c r="M12" s="251">
        <f>+'Income Statement History'!K21</f>
        <v>6.3113344146595303</v>
      </c>
      <c r="N12" s="251">
        <f>+'Income Statement History'!L21</f>
        <v>1.4590754781850801</v>
      </c>
      <c r="O12" s="250">
        <f>+'Income Statement History'!M21</f>
        <v>3.0661831480144799</v>
      </c>
      <c r="P12" s="250">
        <f>+'Income Statement History'!N21</f>
        <v>1.0196352673770899</v>
      </c>
      <c r="Q12" s="250">
        <f>+'Income Statement History'!O21</f>
        <v>2.5056449187428003</v>
      </c>
      <c r="R12" s="251">
        <f>+'Income Statement History'!P21</f>
        <v>8.0505388123194486</v>
      </c>
      <c r="S12" s="251">
        <f>+'Income Statement History'!Q21</f>
        <v>2.4109891997297002</v>
      </c>
      <c r="T12" s="250">
        <f>+'Income Statement History'!R21</f>
        <v>1.4273683099951999</v>
      </c>
      <c r="U12" s="250">
        <f>+'Income Statement History'!S21</f>
        <v>3.1</v>
      </c>
      <c r="V12" s="250">
        <f>+'Income Statement History'!T21</f>
        <v>2.9</v>
      </c>
      <c r="W12" s="251">
        <f>+'Income Statement History'!U21</f>
        <v>9.8383575097249008</v>
      </c>
    </row>
    <row r="13" spans="1:23" ht="4.3499999999999996" customHeight="1">
      <c r="A13" s="151" t="s">
        <v>97</v>
      </c>
      <c r="B13" s="151"/>
      <c r="C13" s="74"/>
      <c r="D13" s="191"/>
      <c r="E13" s="191"/>
      <c r="F13" s="191"/>
      <c r="G13" s="191"/>
      <c r="H13" s="188"/>
      <c r="I13" s="188"/>
      <c r="J13" s="191"/>
      <c r="K13" s="191"/>
      <c r="L13" s="191"/>
      <c r="M13" s="188"/>
      <c r="N13" s="188"/>
      <c r="O13" s="191"/>
      <c r="P13" s="191"/>
      <c r="Q13" s="191"/>
      <c r="R13" s="188"/>
      <c r="S13" s="188"/>
      <c r="T13" s="191"/>
      <c r="U13" s="249"/>
      <c r="V13" s="249"/>
      <c r="W13" s="188"/>
    </row>
    <row r="14" spans="1:23">
      <c r="A14" s="151" t="s">
        <v>18</v>
      </c>
      <c r="B14" s="151"/>
      <c r="C14" s="74"/>
      <c r="D14" s="191">
        <f>+'Income Statement History'!B37</f>
        <v>197.20595404984073</v>
      </c>
      <c r="E14" s="191">
        <f>+'Income Statement History'!C37</f>
        <v>260.1937632361595</v>
      </c>
      <c r="F14" s="191">
        <f>+'Income Statement History'!D37</f>
        <v>292.89330958950688</v>
      </c>
      <c r="G14" s="191">
        <f>+'Income Statement History'!E37</f>
        <v>391.95881822087881</v>
      </c>
      <c r="H14" s="188">
        <f>+'Income Statement History'!F37</f>
        <v>1142.2518450963862</v>
      </c>
      <c r="I14" s="188">
        <f>+'Income Statement History'!G37</f>
        <v>246.28850299298023</v>
      </c>
      <c r="J14" s="191">
        <f>+'Income Statement History'!H37</f>
        <v>296.85944619111001</v>
      </c>
      <c r="K14" s="191">
        <f>+'Income Statement History'!I37</f>
        <v>326.57663043437867</v>
      </c>
      <c r="L14" s="191">
        <f>+'Income Statement History'!J37</f>
        <v>427.61004796808777</v>
      </c>
      <c r="M14" s="188">
        <f>+'Income Statement History'!K37</f>
        <v>1297.334627586557</v>
      </c>
      <c r="N14" s="188">
        <f>+'Income Statement History'!L37</f>
        <v>252.61712264402234</v>
      </c>
      <c r="O14" s="191">
        <f>+'Income Statement History'!M37</f>
        <v>309.89583230167023</v>
      </c>
      <c r="P14" s="191">
        <f>+'Income Statement History'!N37</f>
        <v>284.55474542092469</v>
      </c>
      <c r="Q14" s="191">
        <f>+'Income Statement History'!O37</f>
        <v>525.30442032906706</v>
      </c>
      <c r="R14" s="188">
        <f>+'Income Statement History'!P37</f>
        <v>1372.3721206956841</v>
      </c>
      <c r="S14" s="188">
        <f>+'Income Statement History'!Q37</f>
        <v>306.56091092462827</v>
      </c>
      <c r="T14" s="191">
        <f>+'Income Statement History'!R37</f>
        <v>399.9012259467749</v>
      </c>
      <c r="U14" s="191">
        <f>+'Income Statement History'!S37</f>
        <v>406.54999999999995</v>
      </c>
      <c r="V14" s="191">
        <f>+'Income Statement History'!T37</f>
        <v>577.75100000000032</v>
      </c>
      <c r="W14" s="188">
        <f>+'Income Statement History'!U37</f>
        <v>1690.7631368714033</v>
      </c>
    </row>
    <row r="15" spans="1:23" ht="3.45" customHeight="1">
      <c r="A15" s="151" t="s">
        <v>97</v>
      </c>
      <c r="B15" s="151"/>
      <c r="C15" s="74"/>
      <c r="D15" s="191"/>
      <c r="E15" s="191"/>
      <c r="F15" s="191"/>
      <c r="G15" s="191"/>
      <c r="H15" s="188"/>
      <c r="I15" s="188"/>
      <c r="J15" s="191"/>
      <c r="K15" s="191"/>
      <c r="L15" s="191"/>
      <c r="M15" s="188"/>
      <c r="N15" s="188"/>
      <c r="O15" s="191"/>
      <c r="P15" s="191"/>
      <c r="Q15" s="191"/>
      <c r="R15" s="188"/>
      <c r="S15" s="188"/>
      <c r="T15" s="191"/>
      <c r="U15" s="249"/>
      <c r="V15" s="249"/>
      <c r="W15" s="188"/>
    </row>
    <row r="16" spans="1:23">
      <c r="A16" s="151" t="s">
        <v>146</v>
      </c>
      <c r="B16" s="151"/>
      <c r="C16" s="74"/>
      <c r="D16" s="191"/>
      <c r="E16" s="191"/>
      <c r="F16" s="191"/>
      <c r="G16" s="191"/>
      <c r="H16" s="188"/>
      <c r="I16" s="188"/>
      <c r="J16" s="191"/>
      <c r="K16" s="191"/>
      <c r="L16" s="191"/>
      <c r="M16" s="188"/>
      <c r="N16" s="188"/>
      <c r="O16" s="191"/>
      <c r="P16" s="191"/>
      <c r="Q16" s="191"/>
      <c r="R16" s="188"/>
      <c r="S16" s="188"/>
      <c r="T16" s="191"/>
      <c r="U16" s="249"/>
      <c r="V16" s="249"/>
      <c r="W16" s="188"/>
    </row>
    <row r="17" spans="1:25">
      <c r="A17" s="151" t="s">
        <v>222</v>
      </c>
      <c r="B17" s="151"/>
      <c r="C17" s="74"/>
      <c r="D17" s="191">
        <v>0</v>
      </c>
      <c r="E17" s="191">
        <v>0</v>
      </c>
      <c r="F17" s="191">
        <v>0</v>
      </c>
      <c r="G17" s="191">
        <v>0</v>
      </c>
      <c r="H17" s="188">
        <f>SUM(D17:G17)</f>
        <v>0</v>
      </c>
      <c r="I17" s="188">
        <v>0</v>
      </c>
      <c r="J17" s="191">
        <v>0</v>
      </c>
      <c r="K17" s="191">
        <v>0</v>
      </c>
      <c r="L17" s="191">
        <v>40.4</v>
      </c>
      <c r="M17" s="188">
        <f>SUM(I17:L17)</f>
        <v>40.4</v>
      </c>
      <c r="N17" s="188">
        <v>12.4</v>
      </c>
      <c r="O17" s="191">
        <v>27.2</v>
      </c>
      <c r="P17" s="191">
        <v>38.799999999999997</v>
      </c>
      <c r="Q17" s="191">
        <v>0</v>
      </c>
      <c r="R17" s="188">
        <f>SUM(N17:Q17)</f>
        <v>78.400000000000006</v>
      </c>
      <c r="S17" s="188">
        <v>0</v>
      </c>
      <c r="T17" s="191">
        <v>0</v>
      </c>
      <c r="U17" s="249">
        <v>0</v>
      </c>
      <c r="V17" s="249">
        <v>0</v>
      </c>
      <c r="W17" s="188">
        <f>SUM(S17:V17)</f>
        <v>0</v>
      </c>
    </row>
    <row r="18" spans="1:25">
      <c r="A18" s="151" t="s">
        <v>221</v>
      </c>
      <c r="B18" s="151"/>
      <c r="C18" s="74"/>
      <c r="D18" s="191">
        <v>0</v>
      </c>
      <c r="E18" s="191">
        <v>0</v>
      </c>
      <c r="F18" s="191">
        <v>0</v>
      </c>
      <c r="G18" s="191">
        <v>0</v>
      </c>
      <c r="H18" s="188">
        <f>SUM(D18:G18)</f>
        <v>0</v>
      </c>
      <c r="I18" s="188">
        <v>3.2</v>
      </c>
      <c r="J18" s="191">
        <v>4.8</v>
      </c>
      <c r="K18" s="191">
        <v>16.899999999999999</v>
      </c>
      <c r="L18" s="191">
        <v>24</v>
      </c>
      <c r="M18" s="188">
        <f>SUM(I18:L18)</f>
        <v>48.9</v>
      </c>
      <c r="N18" s="188">
        <v>17.2</v>
      </c>
      <c r="O18" s="191">
        <v>27.8</v>
      </c>
      <c r="P18" s="191">
        <v>28.6</v>
      </c>
      <c r="Q18" s="191">
        <v>52.2</v>
      </c>
      <c r="R18" s="188">
        <f>SUM(N18:Q18)</f>
        <v>125.8</v>
      </c>
      <c r="S18" s="188">
        <v>11.9</v>
      </c>
      <c r="T18" s="191">
        <v>15.4</v>
      </c>
      <c r="U18" s="249">
        <v>0</v>
      </c>
      <c r="V18" s="249">
        <v>0</v>
      </c>
      <c r="W18" s="188">
        <f>SUM(S18:V18)</f>
        <v>27.3</v>
      </c>
    </row>
    <row r="19" spans="1:25">
      <c r="A19" s="151" t="s">
        <v>205</v>
      </c>
      <c r="B19" s="151"/>
      <c r="C19" s="74"/>
      <c r="D19" s="191"/>
      <c r="E19" s="191"/>
      <c r="F19" s="191"/>
      <c r="G19" s="191"/>
      <c r="H19" s="188"/>
      <c r="I19" s="188"/>
      <c r="J19" s="191"/>
      <c r="K19" s="191"/>
      <c r="L19" s="191"/>
      <c r="M19" s="188"/>
      <c r="N19" s="188"/>
      <c r="O19" s="191"/>
      <c r="P19" s="191"/>
      <c r="Q19" s="191"/>
      <c r="R19" s="188"/>
      <c r="S19" s="188"/>
      <c r="T19" s="191"/>
      <c r="U19" s="191"/>
      <c r="V19" s="191"/>
      <c r="W19" s="188"/>
    </row>
    <row r="20" spans="1:25" s="19" customFormat="1">
      <c r="A20" s="182" t="s">
        <v>206</v>
      </c>
      <c r="B20" s="182"/>
      <c r="C20" s="161"/>
      <c r="D20" s="250">
        <v>1.6</v>
      </c>
      <c r="E20" s="250">
        <v>2.6</v>
      </c>
      <c r="F20" s="250">
        <v>-0.7</v>
      </c>
      <c r="G20" s="250">
        <v>20.399999999999999</v>
      </c>
      <c r="H20" s="251">
        <f>SUM(D20:G20)</f>
        <v>23.9</v>
      </c>
      <c r="I20" s="251">
        <v>-2.8</v>
      </c>
      <c r="J20" s="250">
        <v>2.1</v>
      </c>
      <c r="K20" s="250">
        <v>1.1000000000000001</v>
      </c>
      <c r="L20" s="250">
        <v>25.6</v>
      </c>
      <c r="M20" s="251">
        <f>SUM(I20:L20)</f>
        <v>26</v>
      </c>
      <c r="N20" s="251">
        <v>0.5</v>
      </c>
      <c r="O20" s="250">
        <v>-4.4000000000000004</v>
      </c>
      <c r="P20" s="250">
        <v>-2.6</v>
      </c>
      <c r="Q20" s="250">
        <v>-9</v>
      </c>
      <c r="R20" s="251">
        <f>SUM(N20:Q20)</f>
        <v>-15.5</v>
      </c>
      <c r="S20" s="251">
        <v>-15.2</v>
      </c>
      <c r="T20" s="250">
        <v>-2.8</v>
      </c>
      <c r="U20" s="252">
        <v>5.1340000000000003</v>
      </c>
      <c r="V20" s="252">
        <v>4.4000000000000004</v>
      </c>
      <c r="W20" s="251">
        <f>SUM(S20:V20)</f>
        <v>-8.4659999999999993</v>
      </c>
    </row>
    <row r="21" spans="1:25" ht="6.45" customHeight="1">
      <c r="A21" s="151"/>
      <c r="B21" s="151"/>
      <c r="C21" s="74"/>
      <c r="D21" s="191"/>
      <c r="E21" s="191"/>
      <c r="F21" s="191"/>
      <c r="G21" s="191"/>
      <c r="H21" s="188"/>
      <c r="I21" s="188"/>
      <c r="J21" s="191"/>
      <c r="K21" s="191"/>
      <c r="L21" s="191"/>
      <c r="M21" s="188"/>
      <c r="N21" s="188"/>
      <c r="O21" s="191"/>
      <c r="P21" s="191"/>
      <c r="Q21" s="191"/>
      <c r="R21" s="188"/>
      <c r="S21" s="188"/>
      <c r="T21" s="191"/>
      <c r="U21" s="191"/>
      <c r="V21" s="191"/>
      <c r="W21" s="188"/>
    </row>
    <row r="22" spans="1:25" s="243" customFormat="1" ht="15" thickBot="1">
      <c r="A22" s="245" t="s">
        <v>17</v>
      </c>
      <c r="B22" s="245"/>
      <c r="C22" s="244"/>
      <c r="D22" s="253">
        <f>+'Income Statement History'!B110</f>
        <v>198.76895404984089</v>
      </c>
      <c r="E22" s="253">
        <f>+'Income Statement History'!C110</f>
        <v>262.76076323615956</v>
      </c>
      <c r="F22" s="253">
        <f>+'Income Statement History'!D110</f>
        <v>292.18930958950665</v>
      </c>
      <c r="G22" s="253">
        <f>+'Income Statement History'!E110</f>
        <v>412.40581822087881</v>
      </c>
      <c r="H22" s="254">
        <f>+'Income Statement History'!F110</f>
        <v>1166.124845096386</v>
      </c>
      <c r="I22" s="254">
        <f>+'Income Statement History'!G110</f>
        <v>246.72950299298026</v>
      </c>
      <c r="J22" s="253">
        <f>+'Income Statement History'!H110</f>
        <v>303.77957105658123</v>
      </c>
      <c r="K22" s="253">
        <f>+'Income Statement History'!I110</f>
        <v>344.63057064476573</v>
      </c>
      <c r="L22" s="253">
        <f>+'Income Statement History'!J110</f>
        <v>517.58478798144245</v>
      </c>
      <c r="M22" s="254">
        <f>+'Income Statement History'!K110</f>
        <v>1412.7244326757695</v>
      </c>
      <c r="N22" s="254">
        <f>+'Income Statement History'!L110</f>
        <v>282.68250943040613</v>
      </c>
      <c r="O22" s="253">
        <f>+'Income Statement History'!M110</f>
        <v>360.4514886659091</v>
      </c>
      <c r="P22" s="253">
        <f>+'Income Statement History'!N110</f>
        <v>349.38405315532594</v>
      </c>
      <c r="Q22" s="253">
        <f>+'Income Statement History'!O110</f>
        <v>568.49542206447904</v>
      </c>
      <c r="R22" s="254">
        <f>+'Income Statement History'!P110</f>
        <v>1561.0134733161201</v>
      </c>
      <c r="S22" s="254">
        <f>+'Income Statement History'!Q110</f>
        <v>303.20816665637949</v>
      </c>
      <c r="T22" s="253">
        <f>+'Income Statement History'!R110</f>
        <v>412.54882281470418</v>
      </c>
      <c r="U22" s="253">
        <f>+'Income Statement History'!S110</f>
        <v>411.6500000000006</v>
      </c>
      <c r="V22" s="253">
        <f>+'Income Statement History'!T110</f>
        <v>582.15100000000007</v>
      </c>
      <c r="W22" s="254">
        <f>+'Income Statement History'!U110</f>
        <v>1709.5579894710843</v>
      </c>
      <c r="X22" s="13"/>
      <c r="Y22" s="13"/>
    </row>
    <row r="23" spans="1:25" ht="15" thickTop="1">
      <c r="A23" s="74"/>
      <c r="B23" s="85"/>
      <c r="C23" s="74"/>
      <c r="D23" s="74"/>
      <c r="E23" s="74"/>
      <c r="F23" s="74"/>
      <c r="G23" s="74"/>
      <c r="H23" s="74"/>
      <c r="I23" s="74"/>
      <c r="J23" s="74"/>
      <c r="K23" s="74"/>
      <c r="L23" s="74"/>
      <c r="M23" s="74"/>
      <c r="N23" s="74"/>
      <c r="O23" s="74"/>
      <c r="P23" s="74"/>
      <c r="Q23" s="74"/>
      <c r="R23" s="74"/>
      <c r="S23" s="74"/>
      <c r="T23" s="74"/>
      <c r="U23" s="74"/>
      <c r="V23" s="13"/>
      <c r="W23" s="13"/>
      <c r="X23" s="13"/>
      <c r="Y23" s="13"/>
    </row>
    <row r="24" spans="1:25">
      <c r="A24" s="179" t="s">
        <v>125</v>
      </c>
      <c r="B24" s="85"/>
      <c r="C24" s="74"/>
      <c r="D24" s="74"/>
      <c r="E24" s="74"/>
      <c r="F24" s="74"/>
      <c r="G24" s="74"/>
      <c r="H24" s="74"/>
      <c r="I24" s="74"/>
      <c r="J24" s="74"/>
      <c r="K24" s="74"/>
      <c r="L24" s="74"/>
      <c r="M24" s="74"/>
      <c r="N24" s="74"/>
      <c r="O24" s="74"/>
      <c r="P24" s="74"/>
      <c r="Q24" s="74"/>
      <c r="R24" s="74"/>
      <c r="S24" s="74"/>
      <c r="T24" s="74"/>
      <c r="U24" s="74"/>
      <c r="V24" s="13"/>
      <c r="W24" s="13"/>
      <c r="X24" s="13"/>
      <c r="Y24" s="13"/>
    </row>
    <row r="25" spans="1:25">
      <c r="A25" s="13"/>
      <c r="B25" s="85"/>
      <c r="C25" s="74"/>
      <c r="D25" s="74"/>
      <c r="E25" s="74"/>
      <c r="F25" s="74"/>
      <c r="G25" s="74"/>
      <c r="H25" s="74"/>
      <c r="I25" s="74"/>
      <c r="J25" s="74"/>
      <c r="K25" s="74"/>
      <c r="L25" s="74"/>
      <c r="M25" s="74"/>
      <c r="N25" s="74"/>
      <c r="O25" s="74"/>
      <c r="P25" s="74"/>
      <c r="Q25" s="74"/>
      <c r="R25" s="74"/>
      <c r="S25" s="74"/>
      <c r="T25" s="74"/>
      <c r="U25" s="74"/>
      <c r="V25" s="13"/>
      <c r="W25" s="13"/>
      <c r="X25" s="13"/>
      <c r="Y25" s="13"/>
    </row>
    <row r="26" spans="1:25">
      <c r="A26" s="13"/>
      <c r="B26" s="482"/>
      <c r="C26" s="13"/>
      <c r="D26" s="13"/>
      <c r="E26" s="13"/>
      <c r="F26" s="13"/>
      <c r="G26" s="13"/>
      <c r="H26" s="13"/>
      <c r="I26" s="13"/>
      <c r="J26" s="13"/>
      <c r="K26" s="13"/>
      <c r="L26" s="13"/>
      <c r="M26" s="13"/>
      <c r="N26" s="13"/>
      <c r="O26" s="13"/>
      <c r="P26" s="13"/>
      <c r="Q26" s="13"/>
      <c r="R26" s="13"/>
      <c r="S26" s="13"/>
      <c r="T26" s="13"/>
      <c r="U26" s="13"/>
      <c r="V26" s="13"/>
      <c r="W26" s="13"/>
      <c r="X26" s="13"/>
      <c r="Y26" s="13"/>
    </row>
    <row r="27" spans="1:25">
      <c r="A27" s="13"/>
      <c r="B27" s="482"/>
      <c r="C27" s="13"/>
      <c r="D27" s="13"/>
      <c r="E27" s="13"/>
      <c r="F27" s="13"/>
      <c r="G27" s="13"/>
      <c r="H27" s="13"/>
      <c r="I27" s="13"/>
      <c r="J27" s="13"/>
      <c r="K27" s="13"/>
      <c r="L27" s="13"/>
      <c r="M27" s="13"/>
      <c r="N27" s="13"/>
      <c r="O27" s="13"/>
      <c r="P27" s="13"/>
      <c r="Q27" s="13"/>
      <c r="R27" s="13"/>
      <c r="S27" s="13"/>
      <c r="T27" s="13"/>
      <c r="U27" s="13"/>
      <c r="V27" s="13"/>
      <c r="W27" s="13"/>
      <c r="X27" s="13"/>
      <c r="Y27" s="13"/>
    </row>
    <row r="28" spans="1:25">
      <c r="A28" s="13"/>
      <c r="B28" s="482"/>
      <c r="C28" s="13"/>
      <c r="D28" s="13"/>
      <c r="E28" s="13"/>
      <c r="F28" s="13"/>
      <c r="G28" s="13"/>
      <c r="H28" s="13"/>
      <c r="I28" s="13"/>
      <c r="J28" s="13"/>
      <c r="K28" s="13"/>
      <c r="L28" s="13"/>
      <c r="M28" s="13"/>
      <c r="N28" s="13"/>
      <c r="O28" s="13"/>
      <c r="P28" s="13"/>
      <c r="Q28" s="13"/>
      <c r="R28" s="13"/>
      <c r="S28" s="13"/>
      <c r="T28" s="13"/>
      <c r="U28" s="13"/>
      <c r="V28" s="13"/>
      <c r="W28" s="13"/>
      <c r="X28" s="13"/>
      <c r="Y28" s="13"/>
    </row>
    <row r="29" spans="1:25">
      <c r="A29" s="13"/>
      <c r="B29" s="482"/>
      <c r="C29" s="13"/>
      <c r="D29" s="13"/>
      <c r="E29" s="13"/>
      <c r="F29" s="13"/>
      <c r="G29" s="13"/>
      <c r="H29" s="13"/>
      <c r="I29" s="13"/>
      <c r="J29" s="13"/>
      <c r="K29" s="13"/>
      <c r="L29" s="13"/>
      <c r="M29" s="13"/>
      <c r="N29" s="13"/>
      <c r="O29" s="13"/>
      <c r="P29" s="13"/>
      <c r="Q29" s="13"/>
      <c r="R29" s="13"/>
      <c r="S29" s="13"/>
      <c r="T29" s="13"/>
      <c r="U29" s="13"/>
      <c r="V29" s="13"/>
      <c r="W29" s="13"/>
      <c r="X29" s="13"/>
      <c r="Y29" s="13"/>
    </row>
    <row r="30" spans="1:25">
      <c r="A30" s="13"/>
      <c r="B30" s="482"/>
      <c r="C30" s="13"/>
      <c r="D30" s="13"/>
      <c r="E30" s="13"/>
      <c r="F30" s="13"/>
      <c r="G30" s="13"/>
      <c r="H30" s="13"/>
      <c r="I30" s="13"/>
      <c r="J30" s="13"/>
      <c r="K30" s="13"/>
      <c r="L30" s="13"/>
      <c r="M30" s="13"/>
      <c r="N30" s="13"/>
      <c r="O30" s="13"/>
      <c r="P30" s="13"/>
      <c r="Q30" s="13"/>
      <c r="R30" s="13"/>
      <c r="S30" s="13"/>
      <c r="T30" s="13"/>
      <c r="U30" s="13"/>
      <c r="V30" s="13"/>
      <c r="W30" s="13"/>
      <c r="X30" s="13"/>
      <c r="Y30" s="13"/>
    </row>
    <row r="31" spans="1:25">
      <c r="A31" s="13"/>
      <c r="B31" s="482"/>
      <c r="C31" s="13"/>
      <c r="D31" s="13"/>
      <c r="E31" s="13"/>
      <c r="F31" s="13"/>
      <c r="G31" s="13"/>
      <c r="H31" s="13"/>
      <c r="I31" s="13"/>
      <c r="J31" s="13"/>
      <c r="K31" s="13"/>
      <c r="L31" s="13"/>
      <c r="M31" s="13"/>
      <c r="N31" s="13"/>
      <c r="O31" s="13"/>
      <c r="P31" s="13"/>
      <c r="Q31" s="13"/>
      <c r="R31" s="13"/>
      <c r="S31" s="13"/>
      <c r="T31" s="13"/>
      <c r="U31" s="13"/>
      <c r="V31" s="13"/>
      <c r="W31" s="13"/>
      <c r="X31" s="13"/>
      <c r="Y31" s="13"/>
    </row>
    <row r="32" spans="1:25">
      <c r="A32" s="13"/>
      <c r="B32" s="482"/>
      <c r="C32" s="13"/>
      <c r="D32" s="13"/>
      <c r="E32" s="13"/>
      <c r="F32" s="13"/>
      <c r="G32" s="13"/>
      <c r="H32" s="13"/>
      <c r="I32" s="13"/>
      <c r="J32" s="13"/>
      <c r="K32" s="13"/>
      <c r="L32" s="13"/>
      <c r="M32" s="13"/>
      <c r="N32" s="13"/>
      <c r="O32" s="13"/>
      <c r="P32" s="13"/>
      <c r="Q32" s="13"/>
      <c r="R32" s="13"/>
      <c r="S32" s="13"/>
      <c r="T32" s="13"/>
      <c r="U32" s="13"/>
      <c r="V32" s="13"/>
      <c r="W32" s="13"/>
      <c r="X32" s="13"/>
      <c r="Y32" s="13"/>
    </row>
    <row r="33" spans="1:25">
      <c r="A33" s="13"/>
      <c r="B33" s="482"/>
      <c r="C33" s="13"/>
      <c r="D33" s="13"/>
      <c r="E33" s="13"/>
      <c r="F33" s="13"/>
      <c r="G33" s="13"/>
      <c r="H33" s="13"/>
      <c r="I33" s="13"/>
      <c r="J33" s="13"/>
      <c r="K33" s="13"/>
      <c r="L33" s="13"/>
      <c r="M33" s="13"/>
      <c r="N33" s="13"/>
      <c r="O33" s="13"/>
      <c r="P33" s="13"/>
      <c r="Q33" s="13"/>
      <c r="R33" s="13"/>
      <c r="S33" s="13"/>
      <c r="T33" s="13"/>
      <c r="U33" s="13"/>
      <c r="V33" s="13"/>
      <c r="W33" s="13"/>
      <c r="X33" s="13"/>
      <c r="Y33" s="13"/>
    </row>
    <row r="34" spans="1:25">
      <c r="A34" s="13"/>
      <c r="B34" s="482"/>
      <c r="C34" s="13"/>
      <c r="D34" s="13"/>
      <c r="E34" s="13"/>
      <c r="F34" s="13"/>
      <c r="G34" s="13"/>
      <c r="H34" s="13"/>
      <c r="I34" s="13"/>
      <c r="J34" s="13"/>
      <c r="K34" s="13"/>
      <c r="L34" s="13"/>
      <c r="M34" s="13"/>
      <c r="N34" s="13"/>
      <c r="O34" s="13"/>
      <c r="P34" s="13"/>
      <c r="Q34" s="13"/>
      <c r="R34" s="13"/>
      <c r="S34" s="13"/>
      <c r="T34" s="13"/>
      <c r="U34" s="13"/>
      <c r="V34" s="13"/>
      <c r="W34" s="13"/>
      <c r="X34" s="13"/>
      <c r="Y34" s="13"/>
    </row>
    <row r="35" spans="1:25">
      <c r="A35" s="13"/>
      <c r="B35" s="482"/>
      <c r="C35" s="13"/>
      <c r="D35" s="13"/>
      <c r="E35" s="13"/>
      <c r="F35" s="13"/>
      <c r="G35" s="13"/>
      <c r="H35" s="13"/>
      <c r="I35" s="13"/>
      <c r="J35" s="13"/>
      <c r="K35" s="13"/>
      <c r="L35" s="13"/>
      <c r="M35" s="13"/>
      <c r="N35" s="13"/>
      <c r="O35" s="13"/>
      <c r="P35" s="13"/>
      <c r="Q35" s="13"/>
      <c r="R35" s="13"/>
      <c r="S35" s="13"/>
      <c r="T35" s="13"/>
      <c r="U35" s="13"/>
      <c r="V35" s="13"/>
      <c r="W35" s="13"/>
      <c r="X35" s="13"/>
      <c r="Y35" s="13"/>
    </row>
    <row r="36" spans="1:25">
      <c r="A36" s="13"/>
      <c r="B36" s="482"/>
      <c r="C36" s="13"/>
      <c r="D36" s="13"/>
      <c r="E36" s="13"/>
      <c r="F36" s="13"/>
      <c r="G36" s="13"/>
      <c r="H36" s="13"/>
      <c r="I36" s="13"/>
      <c r="J36" s="13"/>
      <c r="K36" s="13"/>
      <c r="L36" s="13"/>
      <c r="M36" s="13"/>
      <c r="N36" s="13"/>
      <c r="O36" s="13"/>
      <c r="P36" s="13"/>
      <c r="Q36" s="13"/>
      <c r="R36" s="13"/>
      <c r="S36" s="13"/>
      <c r="T36" s="13"/>
      <c r="U36" s="13"/>
      <c r="V36" s="13"/>
      <c r="W36" s="13"/>
      <c r="X36" s="13"/>
      <c r="Y36" s="13"/>
    </row>
    <row r="37" spans="1:25">
      <c r="A37" s="13"/>
      <c r="B37" s="482"/>
      <c r="C37" s="13"/>
      <c r="D37" s="13"/>
      <c r="E37" s="13"/>
      <c r="F37" s="13"/>
      <c r="G37" s="13"/>
      <c r="H37" s="13"/>
      <c r="I37" s="13"/>
      <c r="J37" s="13"/>
      <c r="K37" s="13"/>
      <c r="L37" s="13"/>
      <c r="M37" s="13"/>
      <c r="N37" s="13"/>
      <c r="O37" s="13"/>
      <c r="P37" s="13"/>
      <c r="Q37" s="13"/>
      <c r="R37" s="13"/>
      <c r="S37" s="13"/>
      <c r="T37" s="13"/>
      <c r="U37" s="13"/>
      <c r="V37" s="13"/>
      <c r="W37" s="13"/>
      <c r="X37" s="13"/>
      <c r="Y37" s="13"/>
    </row>
    <row r="38" spans="1:25">
      <c r="A38" s="13"/>
      <c r="B38" s="482"/>
      <c r="C38" s="13"/>
      <c r="D38" s="13"/>
      <c r="E38" s="13"/>
      <c r="F38" s="13"/>
      <c r="G38" s="13"/>
      <c r="H38" s="13"/>
      <c r="I38" s="13"/>
      <c r="J38" s="13"/>
      <c r="K38" s="13"/>
      <c r="L38" s="13"/>
      <c r="M38" s="13"/>
      <c r="N38" s="13"/>
      <c r="O38" s="13"/>
      <c r="P38" s="13"/>
      <c r="Q38" s="13"/>
      <c r="R38" s="13"/>
      <c r="S38" s="13"/>
      <c r="T38" s="13"/>
      <c r="U38" s="13"/>
      <c r="V38" s="13"/>
      <c r="W38" s="13"/>
      <c r="X38" s="13"/>
      <c r="Y38" s="13"/>
    </row>
    <row r="39" spans="1:25">
      <c r="A39" s="13"/>
      <c r="B39" s="482"/>
      <c r="C39" s="13"/>
      <c r="D39" s="13"/>
      <c r="E39" s="13"/>
      <c r="F39" s="13"/>
      <c r="G39" s="13"/>
      <c r="H39" s="13"/>
      <c r="I39" s="13"/>
      <c r="J39" s="13"/>
      <c r="K39" s="13"/>
      <c r="L39" s="13"/>
      <c r="M39" s="13"/>
      <c r="N39" s="13"/>
      <c r="O39" s="13"/>
      <c r="P39" s="13"/>
      <c r="Q39" s="13"/>
      <c r="R39" s="13"/>
      <c r="S39" s="13"/>
      <c r="T39" s="13"/>
      <c r="U39" s="13"/>
      <c r="V39" s="13"/>
      <c r="W39" s="13"/>
      <c r="X39" s="13"/>
      <c r="Y39" s="13"/>
    </row>
    <row r="40" spans="1:25">
      <c r="A40" s="13"/>
      <c r="B40" s="482"/>
      <c r="C40" s="13"/>
      <c r="D40" s="13"/>
      <c r="E40" s="13"/>
      <c r="F40" s="13"/>
      <c r="G40" s="13"/>
      <c r="H40" s="13"/>
      <c r="I40" s="13"/>
      <c r="J40" s="13"/>
      <c r="K40" s="13"/>
      <c r="L40" s="13"/>
      <c r="M40" s="13"/>
      <c r="N40" s="13"/>
      <c r="O40" s="13"/>
      <c r="P40" s="13"/>
      <c r="Q40" s="13"/>
      <c r="R40" s="13"/>
      <c r="S40" s="13"/>
      <c r="T40" s="13"/>
      <c r="U40" s="13"/>
      <c r="V40" s="13"/>
      <c r="W40" s="13"/>
      <c r="X40" s="13"/>
      <c r="Y40" s="13"/>
    </row>
    <row r="41" spans="1:25">
      <c r="A41" s="13"/>
      <c r="B41" s="482"/>
      <c r="C41" s="13"/>
      <c r="D41" s="13"/>
      <c r="E41" s="13"/>
      <c r="F41" s="13"/>
      <c r="G41" s="13"/>
      <c r="H41" s="13"/>
      <c r="I41" s="13"/>
      <c r="J41" s="13"/>
      <c r="K41" s="13"/>
      <c r="L41" s="13"/>
      <c r="M41" s="13"/>
      <c r="N41" s="13"/>
      <c r="O41" s="13"/>
      <c r="P41" s="13"/>
      <c r="Q41" s="13"/>
      <c r="R41" s="13"/>
      <c r="S41" s="13"/>
      <c r="T41" s="13"/>
      <c r="U41" s="13"/>
      <c r="V41" s="13"/>
      <c r="W41" s="13"/>
      <c r="X41" s="13"/>
      <c r="Y41" s="13"/>
    </row>
    <row r="42" spans="1:25">
      <c r="A42" s="13"/>
      <c r="B42" s="482"/>
      <c r="C42" s="13"/>
      <c r="D42" s="13"/>
      <c r="E42" s="13"/>
      <c r="F42" s="13"/>
      <c r="G42" s="13"/>
      <c r="H42" s="13"/>
      <c r="I42" s="13"/>
      <c r="J42" s="13"/>
      <c r="K42" s="13"/>
      <c r="L42" s="13"/>
      <c r="M42" s="13"/>
      <c r="N42" s="13"/>
      <c r="O42" s="13"/>
      <c r="P42" s="13"/>
      <c r="Q42" s="13"/>
      <c r="R42" s="13"/>
      <c r="S42" s="13"/>
      <c r="T42" s="13"/>
      <c r="U42" s="13"/>
      <c r="V42" s="13"/>
      <c r="W42" s="13"/>
      <c r="X42" s="13"/>
      <c r="Y42" s="13"/>
    </row>
    <row r="43" spans="1:25">
      <c r="A43" s="13"/>
      <c r="B43" s="482"/>
      <c r="C43" s="13"/>
      <c r="D43" s="13"/>
      <c r="E43" s="13"/>
      <c r="F43" s="13"/>
      <c r="G43" s="13"/>
      <c r="H43" s="13"/>
      <c r="I43" s="13"/>
      <c r="J43" s="13"/>
      <c r="K43" s="13"/>
      <c r="L43" s="13"/>
      <c r="M43" s="13"/>
      <c r="N43" s="13"/>
      <c r="O43" s="13"/>
      <c r="P43" s="13"/>
      <c r="Q43" s="13"/>
      <c r="R43" s="13"/>
      <c r="S43" s="13"/>
      <c r="T43" s="13"/>
      <c r="U43" s="13"/>
      <c r="V43" s="13"/>
      <c r="W43" s="13"/>
      <c r="X43" s="13"/>
      <c r="Y43" s="13"/>
    </row>
    <row r="44" spans="1:25">
      <c r="A44" s="13"/>
      <c r="B44" s="482"/>
      <c r="C44" s="13"/>
      <c r="D44" s="13"/>
      <c r="E44" s="13"/>
      <c r="F44" s="13"/>
      <c r="G44" s="13"/>
      <c r="H44" s="13"/>
      <c r="I44" s="13"/>
      <c r="J44" s="13"/>
      <c r="K44" s="13"/>
      <c r="L44" s="13"/>
      <c r="M44" s="13"/>
      <c r="N44" s="13"/>
      <c r="O44" s="13"/>
      <c r="P44" s="13"/>
      <c r="Q44" s="13"/>
      <c r="R44" s="13"/>
      <c r="S44" s="13"/>
      <c r="T44" s="13"/>
      <c r="U44" s="13"/>
      <c r="V44" s="13"/>
      <c r="W44" s="13"/>
      <c r="X44" s="13"/>
      <c r="Y44" s="13"/>
    </row>
    <row r="45" spans="1:25">
      <c r="A45" s="13"/>
      <c r="B45" s="482"/>
      <c r="C45" s="13"/>
      <c r="D45" s="13"/>
      <c r="E45" s="13"/>
      <c r="F45" s="13"/>
      <c r="G45" s="13"/>
      <c r="H45" s="13"/>
      <c r="I45" s="13"/>
      <c r="J45" s="13"/>
      <c r="K45" s="13"/>
      <c r="L45" s="13"/>
      <c r="M45" s="13"/>
      <c r="N45" s="13"/>
      <c r="O45" s="13"/>
      <c r="P45" s="13"/>
      <c r="Q45" s="13"/>
      <c r="R45" s="13"/>
      <c r="S45" s="13"/>
      <c r="T45" s="13"/>
      <c r="U45" s="13"/>
      <c r="V45" s="13"/>
      <c r="W45" s="13"/>
      <c r="X45" s="13"/>
      <c r="Y45" s="13"/>
    </row>
    <row r="46" spans="1:25">
      <c r="A46" s="13"/>
      <c r="B46" s="482"/>
      <c r="C46" s="13"/>
      <c r="D46" s="13"/>
      <c r="E46" s="13"/>
      <c r="F46" s="13"/>
      <c r="G46" s="13"/>
      <c r="H46" s="13"/>
      <c r="I46" s="13"/>
      <c r="J46" s="13"/>
      <c r="K46" s="13"/>
      <c r="L46" s="13"/>
      <c r="M46" s="13"/>
      <c r="N46" s="13"/>
      <c r="O46" s="13"/>
      <c r="P46" s="13"/>
      <c r="Q46" s="13"/>
      <c r="R46" s="13"/>
      <c r="S46" s="13"/>
      <c r="T46" s="13"/>
      <c r="U46" s="13"/>
      <c r="V46" s="13"/>
      <c r="W46" s="13"/>
      <c r="X46" s="13"/>
      <c r="Y46" s="13"/>
    </row>
    <row r="47" spans="1:25">
      <c r="A47" s="13"/>
      <c r="B47" s="482"/>
      <c r="C47" s="13"/>
      <c r="D47" s="13"/>
      <c r="E47" s="13"/>
      <c r="F47" s="13"/>
      <c r="G47" s="13"/>
      <c r="H47" s="13"/>
      <c r="I47" s="13"/>
      <c r="J47" s="13"/>
      <c r="K47" s="13"/>
      <c r="L47" s="13"/>
      <c r="M47" s="13"/>
      <c r="N47" s="13"/>
      <c r="O47" s="13"/>
      <c r="P47" s="13"/>
      <c r="Q47" s="13"/>
      <c r="R47" s="13"/>
      <c r="S47" s="13"/>
      <c r="T47" s="13"/>
      <c r="U47" s="13"/>
      <c r="V47" s="13"/>
      <c r="W47" s="13"/>
      <c r="X47" s="13"/>
      <c r="Y47" s="13"/>
    </row>
    <row r="48" spans="1:25">
      <c r="A48" s="13"/>
      <c r="B48" s="482"/>
      <c r="C48" s="13"/>
      <c r="D48" s="13"/>
      <c r="E48" s="13"/>
      <c r="F48" s="13"/>
      <c r="G48" s="13"/>
      <c r="H48" s="13"/>
      <c r="I48" s="13"/>
      <c r="J48" s="13"/>
      <c r="K48" s="13"/>
      <c r="L48" s="13"/>
      <c r="M48" s="13"/>
      <c r="N48" s="13"/>
      <c r="O48" s="13"/>
      <c r="P48" s="13"/>
      <c r="Q48" s="13"/>
      <c r="R48" s="13"/>
      <c r="S48" s="13"/>
      <c r="T48" s="13"/>
      <c r="U48" s="13"/>
      <c r="V48" s="13"/>
      <c r="W48" s="13"/>
      <c r="X48" s="13"/>
      <c r="Y48" s="13"/>
    </row>
    <row r="49" spans="1:25">
      <c r="A49" s="13"/>
      <c r="B49" s="482"/>
      <c r="C49" s="13"/>
      <c r="D49" s="13"/>
      <c r="E49" s="13"/>
      <c r="F49" s="13"/>
      <c r="G49" s="13"/>
      <c r="H49" s="13"/>
      <c r="I49" s="13"/>
      <c r="J49" s="13"/>
      <c r="K49" s="13"/>
      <c r="L49" s="13"/>
      <c r="M49" s="13"/>
      <c r="N49" s="13"/>
      <c r="O49" s="13"/>
      <c r="P49" s="13"/>
      <c r="Q49" s="13"/>
      <c r="R49" s="13"/>
      <c r="S49" s="13"/>
      <c r="T49" s="13"/>
      <c r="U49" s="13"/>
      <c r="V49" s="13"/>
      <c r="W49" s="13"/>
      <c r="X49" s="13"/>
      <c r="Y49" s="13"/>
    </row>
    <row r="50" spans="1:25">
      <c r="A50" s="13"/>
      <c r="B50" s="482"/>
      <c r="C50" s="13"/>
      <c r="D50" s="13"/>
      <c r="E50" s="13"/>
      <c r="F50" s="13"/>
      <c r="G50" s="13"/>
      <c r="H50" s="13"/>
      <c r="I50" s="13"/>
      <c r="J50" s="13"/>
      <c r="K50" s="13"/>
      <c r="L50" s="13"/>
      <c r="M50" s="13"/>
      <c r="N50" s="13"/>
      <c r="O50" s="13"/>
      <c r="P50" s="13"/>
      <c r="Q50" s="13"/>
      <c r="R50" s="13"/>
      <c r="S50" s="13"/>
      <c r="T50" s="13"/>
      <c r="U50" s="13"/>
      <c r="V50" s="13"/>
      <c r="W50" s="13"/>
      <c r="X50" s="13"/>
      <c r="Y50" s="13"/>
    </row>
    <row r="51" spans="1:25">
      <c r="A51" s="13"/>
      <c r="B51" s="482"/>
      <c r="C51" s="13"/>
      <c r="D51" s="13"/>
      <c r="E51" s="13"/>
      <c r="F51" s="13"/>
      <c r="G51" s="13"/>
      <c r="H51" s="13"/>
      <c r="I51" s="13"/>
      <c r="J51" s="13"/>
      <c r="K51" s="13"/>
      <c r="L51" s="13"/>
      <c r="M51" s="13"/>
      <c r="N51" s="13"/>
      <c r="O51" s="13"/>
      <c r="P51" s="13"/>
      <c r="Q51" s="13"/>
      <c r="R51" s="13"/>
      <c r="S51" s="13"/>
      <c r="T51" s="13"/>
      <c r="U51" s="13"/>
      <c r="V51" s="13"/>
      <c r="W51" s="13"/>
      <c r="X51" s="13"/>
      <c r="Y51" s="13"/>
    </row>
    <row r="52" spans="1:25">
      <c r="A52" s="13"/>
      <c r="B52" s="482"/>
      <c r="C52" s="13"/>
      <c r="D52" s="13"/>
      <c r="E52" s="13"/>
      <c r="F52" s="13"/>
      <c r="G52" s="13"/>
      <c r="H52" s="13"/>
      <c r="I52" s="13"/>
      <c r="J52" s="13"/>
      <c r="K52" s="13"/>
      <c r="L52" s="13"/>
      <c r="M52" s="13"/>
      <c r="N52" s="13"/>
      <c r="O52" s="13"/>
      <c r="P52" s="13"/>
      <c r="Q52" s="13"/>
      <c r="R52" s="13"/>
      <c r="S52" s="13"/>
      <c r="T52" s="13"/>
      <c r="U52" s="13"/>
      <c r="V52" s="13"/>
      <c r="W52" s="13"/>
      <c r="X52" s="13"/>
      <c r="Y52" s="13"/>
    </row>
    <row r="53" spans="1:25">
      <c r="A53" s="13"/>
      <c r="B53" s="482"/>
      <c r="C53" s="13"/>
      <c r="D53" s="13"/>
      <c r="E53" s="13"/>
      <c r="F53" s="13"/>
      <c r="G53" s="13"/>
      <c r="H53" s="13"/>
      <c r="I53" s="13"/>
      <c r="J53" s="13"/>
      <c r="K53" s="13"/>
      <c r="L53" s="13"/>
      <c r="M53" s="13"/>
      <c r="N53" s="13"/>
      <c r="O53" s="13"/>
      <c r="P53" s="13"/>
      <c r="Q53" s="13"/>
      <c r="R53" s="13"/>
      <c r="S53" s="13"/>
      <c r="T53" s="13"/>
      <c r="U53" s="13"/>
      <c r="V53" s="13"/>
      <c r="W53" s="13"/>
      <c r="X53" s="13"/>
      <c r="Y53" s="13"/>
    </row>
    <row r="54" spans="1:25">
      <c r="A54" s="13"/>
      <c r="B54" s="482"/>
      <c r="C54" s="13"/>
      <c r="D54" s="13"/>
      <c r="E54" s="13"/>
      <c r="F54" s="13"/>
      <c r="G54" s="13"/>
      <c r="H54" s="13"/>
      <c r="I54" s="13"/>
      <c r="J54" s="13"/>
      <c r="K54" s="13"/>
      <c r="L54" s="13"/>
      <c r="M54" s="13"/>
      <c r="N54" s="13"/>
      <c r="O54" s="13"/>
      <c r="P54" s="13"/>
      <c r="Q54" s="13"/>
      <c r="R54" s="13"/>
      <c r="S54" s="13"/>
      <c r="T54" s="13"/>
      <c r="U54" s="13"/>
      <c r="V54" s="13"/>
      <c r="W54" s="13"/>
      <c r="X54" s="13"/>
      <c r="Y54" s="13"/>
    </row>
    <row r="55" spans="1:25">
      <c r="A55" s="13"/>
      <c r="B55" s="482"/>
      <c r="C55" s="13"/>
      <c r="D55" s="13"/>
      <c r="E55" s="13"/>
      <c r="F55" s="13"/>
      <c r="G55" s="13"/>
      <c r="H55" s="13"/>
      <c r="I55" s="13"/>
      <c r="J55" s="13"/>
      <c r="K55" s="13"/>
      <c r="L55" s="13"/>
      <c r="M55" s="13"/>
      <c r="N55" s="13"/>
      <c r="O55" s="13"/>
      <c r="P55" s="13"/>
      <c r="Q55" s="13"/>
      <c r="R55" s="13"/>
      <c r="S55" s="13"/>
      <c r="T55" s="13"/>
      <c r="U55" s="13"/>
      <c r="V55" s="13"/>
      <c r="W55" s="13"/>
      <c r="X55" s="13"/>
      <c r="Y55" s="13"/>
    </row>
    <row r="56" spans="1:25">
      <c r="A56" s="13"/>
      <c r="B56" s="482"/>
      <c r="C56" s="13"/>
      <c r="D56" s="13"/>
      <c r="E56" s="13"/>
      <c r="F56" s="13"/>
      <c r="G56" s="13"/>
      <c r="H56" s="13"/>
      <c r="I56" s="13"/>
      <c r="J56" s="13"/>
      <c r="K56" s="13"/>
      <c r="L56" s="13"/>
      <c r="M56" s="13"/>
      <c r="N56" s="13"/>
      <c r="O56" s="13"/>
      <c r="P56" s="13"/>
      <c r="Q56" s="13"/>
      <c r="R56" s="13"/>
      <c r="S56" s="13"/>
      <c r="T56" s="13"/>
      <c r="U56" s="13"/>
      <c r="V56" s="13"/>
      <c r="W56" s="13"/>
      <c r="X56" s="13"/>
      <c r="Y56" s="13"/>
    </row>
    <row r="57" spans="1:25">
      <c r="A57" s="13"/>
      <c r="B57" s="482"/>
      <c r="C57" s="13"/>
      <c r="D57" s="13"/>
      <c r="E57" s="13"/>
      <c r="F57" s="13"/>
      <c r="G57" s="13"/>
      <c r="H57" s="13"/>
      <c r="I57" s="13"/>
      <c r="J57" s="13"/>
      <c r="K57" s="13"/>
      <c r="L57" s="13"/>
      <c r="M57" s="13"/>
      <c r="N57" s="13"/>
      <c r="O57" s="13"/>
      <c r="P57" s="13"/>
      <c r="Q57" s="13"/>
      <c r="R57" s="13"/>
      <c r="S57" s="13"/>
      <c r="T57" s="13"/>
      <c r="U57" s="13"/>
      <c r="V57" s="13"/>
      <c r="W57" s="13"/>
      <c r="X57" s="13"/>
      <c r="Y57" s="13"/>
    </row>
    <row r="58" spans="1:25">
      <c r="A58" s="13"/>
      <c r="B58" s="482"/>
      <c r="C58" s="13"/>
      <c r="D58" s="13"/>
      <c r="E58" s="13"/>
      <c r="F58" s="13"/>
      <c r="G58" s="13"/>
      <c r="H58" s="13"/>
      <c r="I58" s="13"/>
      <c r="J58" s="13"/>
      <c r="K58" s="13"/>
      <c r="L58" s="13"/>
      <c r="M58" s="13"/>
      <c r="N58" s="13"/>
      <c r="O58" s="13"/>
      <c r="P58" s="13"/>
      <c r="Q58" s="13"/>
      <c r="R58" s="13"/>
      <c r="S58" s="13"/>
      <c r="T58" s="13"/>
      <c r="U58" s="13"/>
      <c r="V58" s="13"/>
      <c r="W58" s="13"/>
      <c r="X58" s="13"/>
      <c r="Y58" s="13"/>
    </row>
    <row r="59" spans="1:25">
      <c r="A59" s="13"/>
      <c r="B59" s="482"/>
      <c r="C59" s="13"/>
      <c r="D59" s="13"/>
      <c r="E59" s="13"/>
      <c r="F59" s="13"/>
      <c r="G59" s="13"/>
      <c r="H59" s="13"/>
      <c r="I59" s="13"/>
      <c r="J59" s="13"/>
      <c r="K59" s="13"/>
      <c r="L59" s="13"/>
      <c r="M59" s="13"/>
      <c r="N59" s="13"/>
      <c r="O59" s="13"/>
      <c r="P59" s="13"/>
      <c r="Q59" s="13"/>
      <c r="R59" s="13"/>
      <c r="S59" s="13"/>
      <c r="T59" s="13"/>
      <c r="U59" s="13"/>
      <c r="V59" s="13"/>
      <c r="W59" s="13"/>
      <c r="X59" s="13"/>
      <c r="Y59" s="13"/>
    </row>
    <row r="60" spans="1:25">
      <c r="A60" s="13"/>
      <c r="B60" s="482"/>
      <c r="C60" s="13"/>
      <c r="D60" s="13"/>
      <c r="E60" s="13"/>
      <c r="F60" s="13"/>
      <c r="G60" s="13"/>
      <c r="H60" s="13"/>
      <c r="I60" s="13"/>
      <c r="J60" s="13"/>
      <c r="K60" s="13"/>
      <c r="L60" s="13"/>
      <c r="M60" s="13"/>
      <c r="N60" s="13"/>
      <c r="O60" s="13"/>
      <c r="P60" s="13"/>
      <c r="Q60" s="13"/>
      <c r="R60" s="13"/>
      <c r="S60" s="13"/>
      <c r="T60" s="13"/>
      <c r="U60" s="13"/>
      <c r="V60" s="13"/>
      <c r="W60" s="13"/>
      <c r="X60" s="13"/>
      <c r="Y60" s="13"/>
    </row>
    <row r="61" spans="1:25">
      <c r="A61" s="13"/>
      <c r="B61" s="482"/>
      <c r="C61" s="13"/>
      <c r="D61" s="13"/>
      <c r="E61" s="13"/>
      <c r="F61" s="13"/>
      <c r="G61" s="13"/>
      <c r="H61" s="13"/>
      <c r="I61" s="13"/>
      <c r="J61" s="13"/>
      <c r="K61" s="13"/>
      <c r="L61" s="13"/>
      <c r="M61" s="13"/>
      <c r="N61" s="13"/>
      <c r="O61" s="13"/>
      <c r="P61" s="13"/>
      <c r="Q61" s="13"/>
      <c r="R61" s="13"/>
      <c r="S61" s="13"/>
      <c r="T61" s="13"/>
      <c r="U61" s="13"/>
      <c r="V61" s="13"/>
      <c r="W61" s="13"/>
      <c r="X61" s="13"/>
      <c r="Y61" s="13"/>
    </row>
    <row r="62" spans="1:25">
      <c r="A62" s="13"/>
      <c r="B62" s="482"/>
      <c r="C62" s="13"/>
      <c r="D62" s="13"/>
      <c r="E62" s="13"/>
      <c r="F62" s="13"/>
      <c r="G62" s="13"/>
      <c r="H62" s="13"/>
      <c r="I62" s="13"/>
      <c r="J62" s="13"/>
      <c r="K62" s="13"/>
      <c r="L62" s="13"/>
      <c r="M62" s="13"/>
      <c r="N62" s="13"/>
      <c r="O62" s="13"/>
      <c r="P62" s="13"/>
      <c r="Q62" s="13"/>
      <c r="R62" s="13"/>
      <c r="S62" s="13"/>
      <c r="T62" s="13"/>
      <c r="U62" s="13"/>
      <c r="V62" s="13"/>
      <c r="W62" s="13"/>
      <c r="X62" s="13"/>
      <c r="Y62" s="13"/>
    </row>
    <row r="63" spans="1:25">
      <c r="A63" s="13"/>
      <c r="B63" s="482"/>
      <c r="C63" s="13"/>
      <c r="D63" s="13"/>
      <c r="E63" s="13"/>
      <c r="F63" s="13"/>
      <c r="G63" s="13"/>
      <c r="H63" s="13"/>
      <c r="I63" s="13"/>
      <c r="J63" s="13"/>
      <c r="K63" s="13"/>
      <c r="L63" s="13"/>
      <c r="M63" s="13"/>
      <c r="N63" s="13"/>
      <c r="O63" s="13"/>
      <c r="P63" s="13"/>
      <c r="Q63" s="13"/>
      <c r="R63" s="13"/>
      <c r="S63" s="13"/>
      <c r="T63" s="13"/>
      <c r="U63" s="13"/>
      <c r="V63" s="13"/>
      <c r="W63" s="13"/>
      <c r="X63" s="13"/>
      <c r="Y63" s="13"/>
    </row>
    <row r="64" spans="1:25">
      <c r="A64" s="13"/>
      <c r="B64" s="482"/>
      <c r="C64" s="13"/>
      <c r="D64" s="13"/>
      <c r="E64" s="13"/>
      <c r="F64" s="13"/>
      <c r="G64" s="13"/>
      <c r="H64" s="13"/>
      <c r="I64" s="13"/>
      <c r="J64" s="13"/>
      <c r="K64" s="13"/>
      <c r="L64" s="13"/>
      <c r="M64" s="13"/>
      <c r="N64" s="13"/>
      <c r="O64" s="13"/>
      <c r="P64" s="13"/>
      <c r="Q64" s="13"/>
      <c r="R64" s="13"/>
      <c r="S64" s="13"/>
      <c r="T64" s="13"/>
      <c r="U64" s="13"/>
      <c r="V64" s="13"/>
      <c r="W64" s="13"/>
      <c r="X64" s="13"/>
      <c r="Y64" s="13"/>
    </row>
    <row r="65" spans="1:25">
      <c r="A65" s="13"/>
      <c r="B65" s="482"/>
      <c r="C65" s="13"/>
      <c r="D65" s="13"/>
      <c r="E65" s="13"/>
      <c r="F65" s="13"/>
      <c r="G65" s="13"/>
      <c r="H65" s="13"/>
      <c r="I65" s="13"/>
      <c r="J65" s="13"/>
      <c r="K65" s="13"/>
      <c r="L65" s="13"/>
      <c r="M65" s="13"/>
      <c r="N65" s="13"/>
      <c r="O65" s="13"/>
      <c r="P65" s="13"/>
      <c r="Q65" s="13"/>
      <c r="R65" s="13"/>
      <c r="S65" s="13"/>
      <c r="T65" s="13"/>
      <c r="U65" s="13"/>
      <c r="V65" s="13"/>
      <c r="W65" s="13"/>
      <c r="X65" s="13"/>
      <c r="Y65" s="13"/>
    </row>
    <row r="66" spans="1:25">
      <c r="A66" s="13"/>
      <c r="B66" s="482"/>
      <c r="C66" s="13"/>
      <c r="D66" s="13"/>
      <c r="E66" s="13"/>
      <c r="F66" s="13"/>
      <c r="G66" s="13"/>
      <c r="H66" s="13"/>
      <c r="I66" s="13"/>
      <c r="J66" s="13"/>
      <c r="K66" s="13"/>
      <c r="L66" s="13"/>
      <c r="M66" s="13"/>
      <c r="N66" s="13"/>
      <c r="O66" s="13"/>
      <c r="P66" s="13"/>
      <c r="Q66" s="13"/>
      <c r="R66" s="13"/>
      <c r="S66" s="13"/>
      <c r="T66" s="13"/>
      <c r="U66" s="13"/>
      <c r="V66" s="13"/>
      <c r="W66" s="13"/>
      <c r="X66" s="13"/>
      <c r="Y66" s="13"/>
    </row>
    <row r="67" spans="1:25">
      <c r="A67" s="13"/>
      <c r="B67" s="482"/>
      <c r="C67" s="13"/>
      <c r="D67" s="13"/>
      <c r="E67" s="13"/>
      <c r="F67" s="13"/>
      <c r="G67" s="13"/>
      <c r="H67" s="13"/>
      <c r="I67" s="13"/>
      <c r="J67" s="13"/>
      <c r="K67" s="13"/>
      <c r="L67" s="13"/>
      <c r="M67" s="13"/>
      <c r="N67" s="13"/>
      <c r="O67" s="13"/>
      <c r="P67" s="13"/>
      <c r="Q67" s="13"/>
      <c r="R67" s="13"/>
      <c r="S67" s="13"/>
      <c r="T67" s="13"/>
      <c r="U67" s="13"/>
      <c r="V67" s="13"/>
      <c r="W67" s="13"/>
      <c r="X67" s="13"/>
      <c r="Y67" s="13"/>
    </row>
    <row r="68" spans="1:25">
      <c r="A68" s="13"/>
      <c r="B68" s="482"/>
      <c r="C68" s="13"/>
      <c r="D68" s="13"/>
      <c r="E68" s="13"/>
      <c r="F68" s="13"/>
      <c r="G68" s="13"/>
      <c r="H68" s="13"/>
      <c r="I68" s="13"/>
      <c r="J68" s="13"/>
      <c r="K68" s="13"/>
      <c r="L68" s="13"/>
      <c r="M68" s="13"/>
      <c r="N68" s="13"/>
      <c r="O68" s="13"/>
      <c r="P68" s="13"/>
      <c r="Q68" s="13"/>
      <c r="R68" s="13"/>
      <c r="S68" s="13"/>
      <c r="T68" s="13"/>
      <c r="U68" s="13"/>
      <c r="V68" s="13"/>
      <c r="W68" s="13"/>
      <c r="X68" s="13"/>
      <c r="Y68" s="13"/>
    </row>
    <row r="69" spans="1:25">
      <c r="A69" s="13"/>
      <c r="B69" s="482"/>
      <c r="C69" s="13"/>
      <c r="D69" s="13"/>
      <c r="E69" s="13"/>
      <c r="F69" s="13"/>
      <c r="G69" s="13"/>
      <c r="H69" s="13"/>
      <c r="I69" s="13"/>
      <c r="J69" s="13"/>
      <c r="K69" s="13"/>
      <c r="L69" s="13"/>
      <c r="M69" s="13"/>
      <c r="N69" s="13"/>
      <c r="O69" s="13"/>
      <c r="P69" s="13"/>
      <c r="Q69" s="13"/>
      <c r="R69" s="13"/>
      <c r="S69" s="13"/>
      <c r="T69" s="13"/>
      <c r="U69" s="13"/>
      <c r="V69" s="13"/>
      <c r="W69" s="13"/>
      <c r="X69" s="13"/>
      <c r="Y69" s="13"/>
    </row>
    <row r="70" spans="1:25">
      <c r="A70" s="13"/>
      <c r="B70" s="482"/>
      <c r="C70" s="13"/>
      <c r="D70" s="13"/>
      <c r="E70" s="13"/>
      <c r="F70" s="13"/>
      <c r="G70" s="13"/>
      <c r="H70" s="13"/>
      <c r="I70" s="13"/>
      <c r="J70" s="13"/>
      <c r="K70" s="13"/>
      <c r="L70" s="13"/>
      <c r="M70" s="13"/>
      <c r="N70" s="13"/>
      <c r="O70" s="13"/>
      <c r="P70" s="13"/>
      <c r="Q70" s="13"/>
      <c r="R70" s="13"/>
      <c r="S70" s="13"/>
      <c r="T70" s="13"/>
      <c r="U70" s="13"/>
      <c r="V70" s="13"/>
      <c r="W70" s="13"/>
      <c r="X70" s="13"/>
      <c r="Y70" s="13"/>
    </row>
    <row r="71" spans="1:25">
      <c r="A71" s="13"/>
      <c r="B71" s="482"/>
      <c r="C71" s="13"/>
      <c r="D71" s="13"/>
      <c r="E71" s="13"/>
      <c r="F71" s="13"/>
      <c r="G71" s="13"/>
      <c r="H71" s="13"/>
      <c r="I71" s="13"/>
      <c r="J71" s="13"/>
      <c r="K71" s="13"/>
      <c r="L71" s="13"/>
      <c r="M71" s="13"/>
      <c r="N71" s="13"/>
      <c r="O71" s="13"/>
      <c r="P71" s="13"/>
      <c r="Q71" s="13"/>
      <c r="R71" s="13"/>
      <c r="S71" s="13"/>
      <c r="T71" s="13"/>
      <c r="U71" s="13"/>
      <c r="V71" s="13"/>
      <c r="W71" s="13"/>
      <c r="X71" s="13"/>
      <c r="Y71" s="13"/>
    </row>
    <row r="72" spans="1:25">
      <c r="A72" s="13"/>
      <c r="B72" s="482"/>
      <c r="C72" s="13"/>
      <c r="D72" s="13"/>
      <c r="E72" s="13"/>
      <c r="F72" s="13"/>
      <c r="G72" s="13"/>
      <c r="H72" s="13"/>
      <c r="I72" s="13"/>
      <c r="J72" s="13"/>
      <c r="K72" s="13"/>
      <c r="L72" s="13"/>
      <c r="M72" s="13"/>
      <c r="N72" s="13"/>
      <c r="O72" s="13"/>
      <c r="P72" s="13"/>
      <c r="Q72" s="13"/>
      <c r="R72" s="13"/>
      <c r="S72" s="13"/>
      <c r="T72" s="13"/>
      <c r="U72" s="13"/>
      <c r="V72" s="13"/>
      <c r="W72" s="13"/>
      <c r="X72" s="13"/>
      <c r="Y72" s="13"/>
    </row>
    <row r="73" spans="1:25">
      <c r="A73" s="13"/>
      <c r="B73" s="482"/>
      <c r="C73" s="13"/>
      <c r="D73" s="13"/>
      <c r="E73" s="13"/>
      <c r="F73" s="13"/>
      <c r="G73" s="13"/>
      <c r="H73" s="13"/>
      <c r="I73" s="13"/>
      <c r="J73" s="13"/>
      <c r="K73" s="13"/>
      <c r="L73" s="13"/>
      <c r="M73" s="13"/>
      <c r="N73" s="13"/>
      <c r="O73" s="13"/>
      <c r="P73" s="13"/>
      <c r="Q73" s="13"/>
      <c r="R73" s="13"/>
      <c r="S73" s="13"/>
      <c r="T73" s="13"/>
      <c r="U73" s="13"/>
      <c r="V73" s="13"/>
      <c r="W73" s="13"/>
      <c r="X73" s="13"/>
      <c r="Y73" s="13"/>
    </row>
    <row r="74" spans="1:25">
      <c r="A74" s="13"/>
      <c r="B74" s="482"/>
      <c r="C74" s="13"/>
      <c r="D74" s="13"/>
      <c r="E74" s="13"/>
      <c r="F74" s="13"/>
      <c r="G74" s="13"/>
      <c r="H74" s="13"/>
      <c r="I74" s="13"/>
      <c r="J74" s="13"/>
      <c r="K74" s="13"/>
      <c r="L74" s="13"/>
      <c r="M74" s="13"/>
      <c r="N74" s="13"/>
      <c r="O74" s="13"/>
      <c r="P74" s="13"/>
      <c r="Q74" s="13"/>
      <c r="R74" s="13"/>
      <c r="S74" s="13"/>
      <c r="T74" s="13"/>
      <c r="U74" s="13"/>
      <c r="V74" s="13"/>
      <c r="W74" s="13"/>
      <c r="X74" s="13"/>
      <c r="Y74" s="13"/>
    </row>
    <row r="75" spans="1:25">
      <c r="A75" s="13"/>
      <c r="B75" s="482"/>
      <c r="C75" s="13"/>
      <c r="D75" s="13"/>
      <c r="E75" s="13"/>
      <c r="F75" s="13"/>
      <c r="G75" s="13"/>
      <c r="H75" s="13"/>
      <c r="I75" s="13"/>
      <c r="J75" s="13"/>
      <c r="K75" s="13"/>
      <c r="L75" s="13"/>
      <c r="M75" s="13"/>
      <c r="N75" s="13"/>
      <c r="O75" s="13"/>
      <c r="P75" s="13"/>
      <c r="Q75" s="13"/>
      <c r="R75" s="13"/>
      <c r="S75" s="13"/>
      <c r="T75" s="13"/>
      <c r="U75" s="13"/>
      <c r="V75" s="13"/>
      <c r="W75" s="13"/>
      <c r="X75" s="13"/>
      <c r="Y75" s="13"/>
    </row>
    <row r="76" spans="1:25">
      <c r="A76" s="13"/>
      <c r="B76" s="482"/>
      <c r="C76" s="13"/>
      <c r="D76" s="13"/>
      <c r="E76" s="13"/>
      <c r="F76" s="13"/>
      <c r="G76" s="13"/>
      <c r="H76" s="13"/>
      <c r="I76" s="13"/>
      <c r="J76" s="13"/>
      <c r="K76" s="13"/>
      <c r="L76" s="13"/>
      <c r="M76" s="13"/>
      <c r="N76" s="13"/>
      <c r="O76" s="13"/>
      <c r="P76" s="13"/>
      <c r="Q76" s="13"/>
      <c r="R76" s="13"/>
      <c r="S76" s="13"/>
      <c r="T76" s="13"/>
      <c r="U76" s="13"/>
      <c r="V76" s="13"/>
      <c r="W76" s="13"/>
      <c r="X76" s="13"/>
      <c r="Y76" s="13"/>
    </row>
    <row r="77" spans="1:25">
      <c r="A77" s="13"/>
      <c r="B77" s="482"/>
      <c r="C77" s="13"/>
      <c r="D77" s="13"/>
      <c r="E77" s="13"/>
      <c r="F77" s="13"/>
      <c r="G77" s="13"/>
      <c r="H77" s="13"/>
      <c r="I77" s="13"/>
      <c r="J77" s="13"/>
      <c r="K77" s="13"/>
      <c r="L77" s="13"/>
      <c r="M77" s="13"/>
      <c r="N77" s="13"/>
      <c r="O77" s="13"/>
      <c r="P77" s="13"/>
      <c r="Q77" s="13"/>
      <c r="R77" s="13"/>
      <c r="S77" s="13"/>
      <c r="T77" s="13"/>
      <c r="U77" s="13"/>
      <c r="V77" s="13"/>
      <c r="W77" s="13"/>
      <c r="X77" s="13"/>
      <c r="Y77" s="13"/>
    </row>
    <row r="78" spans="1:25">
      <c r="A78" s="13"/>
      <c r="B78" s="482"/>
      <c r="C78" s="13"/>
      <c r="D78" s="13"/>
      <c r="E78" s="13"/>
      <c r="F78" s="13"/>
      <c r="G78" s="13"/>
      <c r="H78" s="13"/>
      <c r="I78" s="13"/>
      <c r="J78" s="13"/>
      <c r="K78" s="13"/>
      <c r="L78" s="13"/>
      <c r="M78" s="13"/>
      <c r="N78" s="13"/>
      <c r="O78" s="13"/>
      <c r="P78" s="13"/>
      <c r="Q78" s="13"/>
      <c r="R78" s="13"/>
      <c r="S78" s="13"/>
      <c r="T78" s="13"/>
      <c r="U78" s="13"/>
      <c r="V78" s="13"/>
      <c r="W78" s="13"/>
      <c r="X78" s="13"/>
      <c r="Y78" s="13"/>
    </row>
    <row r="79" spans="1:25">
      <c r="A79" s="13"/>
      <c r="B79" s="482"/>
      <c r="C79" s="13"/>
      <c r="D79" s="13"/>
      <c r="E79" s="13"/>
      <c r="F79" s="13"/>
      <c r="G79" s="13"/>
      <c r="H79" s="13"/>
      <c r="I79" s="13"/>
      <c r="J79" s="13"/>
      <c r="K79" s="13"/>
      <c r="L79" s="13"/>
      <c r="M79" s="13"/>
      <c r="N79" s="13"/>
      <c r="O79" s="13"/>
      <c r="P79" s="13"/>
      <c r="Q79" s="13"/>
      <c r="R79" s="13"/>
      <c r="S79" s="13"/>
      <c r="T79" s="13"/>
      <c r="U79" s="13"/>
      <c r="V79" s="13"/>
      <c r="W79" s="13"/>
      <c r="X79" s="13"/>
      <c r="Y79" s="13"/>
    </row>
    <row r="80" spans="1:25">
      <c r="A80" s="13"/>
      <c r="B80" s="482"/>
      <c r="C80" s="13"/>
      <c r="D80" s="13"/>
      <c r="E80" s="13"/>
      <c r="F80" s="13"/>
      <c r="G80" s="13"/>
      <c r="H80" s="13"/>
      <c r="I80" s="13"/>
      <c r="J80" s="13"/>
      <c r="K80" s="13"/>
      <c r="L80" s="13"/>
      <c r="M80" s="13"/>
      <c r="N80" s="13"/>
      <c r="O80" s="13"/>
      <c r="P80" s="13"/>
      <c r="Q80" s="13"/>
      <c r="R80" s="13"/>
      <c r="S80" s="13"/>
      <c r="T80" s="13"/>
      <c r="U80" s="13"/>
      <c r="V80" s="13"/>
      <c r="W80" s="13"/>
      <c r="X80" s="13"/>
      <c r="Y80" s="13"/>
    </row>
    <row r="81" spans="1:25">
      <c r="A81" s="13"/>
      <c r="B81" s="482"/>
      <c r="C81" s="13"/>
      <c r="D81" s="13"/>
      <c r="E81" s="13"/>
      <c r="F81" s="13"/>
      <c r="G81" s="13"/>
      <c r="H81" s="13"/>
      <c r="I81" s="13"/>
      <c r="J81" s="13"/>
      <c r="K81" s="13"/>
      <c r="L81" s="13"/>
      <c r="M81" s="13"/>
      <c r="N81" s="13"/>
      <c r="O81" s="13"/>
      <c r="P81" s="13"/>
      <c r="Q81" s="13"/>
      <c r="R81" s="13"/>
      <c r="S81" s="13"/>
      <c r="T81" s="13"/>
      <c r="U81" s="13"/>
      <c r="V81" s="13"/>
      <c r="W81" s="13"/>
      <c r="X81" s="13"/>
      <c r="Y81" s="13"/>
    </row>
    <row r="82" spans="1:25">
      <c r="A82" s="13"/>
      <c r="B82" s="482"/>
      <c r="C82" s="13"/>
      <c r="D82" s="13"/>
      <c r="E82" s="13"/>
      <c r="F82" s="13"/>
      <c r="G82" s="13"/>
      <c r="H82" s="13"/>
      <c r="I82" s="13"/>
      <c r="J82" s="13"/>
      <c r="K82" s="13"/>
      <c r="L82" s="13"/>
      <c r="M82" s="13"/>
      <c r="N82" s="13"/>
      <c r="O82" s="13"/>
      <c r="P82" s="13"/>
      <c r="Q82" s="13"/>
      <c r="R82" s="13"/>
      <c r="S82" s="13"/>
      <c r="T82" s="13"/>
      <c r="U82" s="13"/>
      <c r="V82" s="13"/>
      <c r="W82" s="13"/>
      <c r="X82" s="13"/>
      <c r="Y82" s="13"/>
    </row>
    <row r="83" spans="1:25">
      <c r="A83" s="13"/>
      <c r="B83" s="482"/>
      <c r="C83" s="13"/>
      <c r="D83" s="13"/>
      <c r="E83" s="13"/>
      <c r="F83" s="13"/>
      <c r="G83" s="13"/>
      <c r="H83" s="13"/>
      <c r="I83" s="13"/>
      <c r="J83" s="13"/>
      <c r="K83" s="13"/>
      <c r="L83" s="13"/>
      <c r="M83" s="13"/>
      <c r="N83" s="13"/>
      <c r="O83" s="13"/>
      <c r="P83" s="13"/>
      <c r="Q83" s="13"/>
      <c r="R83" s="13"/>
      <c r="S83" s="13"/>
      <c r="T83" s="13"/>
      <c r="U83" s="13"/>
      <c r="V83" s="13"/>
      <c r="W83" s="13"/>
      <c r="X83" s="13"/>
      <c r="Y83" s="13"/>
    </row>
    <row r="84" spans="1:25">
      <c r="A84" s="13"/>
      <c r="B84" s="482"/>
      <c r="C84" s="13"/>
      <c r="D84" s="13"/>
      <c r="E84" s="13"/>
      <c r="F84" s="13"/>
      <c r="G84" s="13"/>
      <c r="H84" s="13"/>
      <c r="I84" s="13"/>
      <c r="J84" s="13"/>
      <c r="K84" s="13"/>
      <c r="L84" s="13"/>
      <c r="M84" s="13"/>
      <c r="N84" s="13"/>
      <c r="O84" s="13"/>
      <c r="P84" s="13"/>
      <c r="Q84" s="13"/>
      <c r="R84" s="13"/>
      <c r="S84" s="13"/>
      <c r="T84" s="13"/>
      <c r="U84" s="13"/>
      <c r="V84" s="13"/>
      <c r="W84" s="13"/>
      <c r="X84" s="13"/>
      <c r="Y84" s="13"/>
    </row>
    <row r="85" spans="1:25">
      <c r="A85" s="13"/>
      <c r="B85" s="482"/>
      <c r="C85" s="13"/>
      <c r="D85" s="13"/>
      <c r="E85" s="13"/>
      <c r="F85" s="13"/>
      <c r="G85" s="13"/>
      <c r="H85" s="13"/>
      <c r="I85" s="13"/>
      <c r="J85" s="13"/>
      <c r="K85" s="13"/>
      <c r="L85" s="13"/>
      <c r="M85" s="13"/>
      <c r="N85" s="13"/>
      <c r="O85" s="13"/>
      <c r="P85" s="13"/>
      <c r="Q85" s="13"/>
      <c r="R85" s="13"/>
      <c r="S85" s="13"/>
      <c r="T85" s="13"/>
      <c r="U85" s="13"/>
      <c r="V85" s="13"/>
      <c r="W85" s="13"/>
      <c r="X85" s="13"/>
      <c r="Y85" s="13"/>
    </row>
    <row r="86" spans="1:25">
      <c r="A86" s="13"/>
      <c r="B86" s="482"/>
      <c r="C86" s="13"/>
      <c r="D86" s="13"/>
      <c r="E86" s="13"/>
      <c r="F86" s="13"/>
      <c r="G86" s="13"/>
      <c r="H86" s="13"/>
      <c r="I86" s="13"/>
      <c r="J86" s="13"/>
      <c r="K86" s="13"/>
      <c r="L86" s="13"/>
      <c r="M86" s="13"/>
      <c r="N86" s="13"/>
      <c r="O86" s="13"/>
      <c r="P86" s="13"/>
      <c r="Q86" s="13"/>
      <c r="R86" s="13"/>
      <c r="S86" s="13"/>
      <c r="T86" s="13"/>
      <c r="U86" s="13"/>
      <c r="V86" s="13"/>
      <c r="W86" s="13"/>
      <c r="X86" s="13"/>
      <c r="Y86" s="13"/>
    </row>
    <row r="87" spans="1:25">
      <c r="A87" s="13"/>
      <c r="B87" s="482"/>
      <c r="C87" s="13"/>
      <c r="D87" s="13"/>
      <c r="E87" s="13"/>
      <c r="F87" s="13"/>
      <c r="G87" s="13"/>
      <c r="H87" s="13"/>
      <c r="I87" s="13"/>
      <c r="J87" s="13"/>
      <c r="K87" s="13"/>
      <c r="L87" s="13"/>
      <c r="M87" s="13"/>
      <c r="N87" s="13"/>
      <c r="O87" s="13"/>
      <c r="P87" s="13"/>
      <c r="Q87" s="13"/>
      <c r="R87" s="13"/>
      <c r="S87" s="13"/>
      <c r="T87" s="13"/>
      <c r="U87" s="13"/>
      <c r="V87" s="13"/>
      <c r="W87" s="13"/>
      <c r="X87" s="13"/>
      <c r="Y87" s="13"/>
    </row>
    <row r="88" spans="1:25">
      <c r="A88" s="13"/>
      <c r="B88" s="482"/>
      <c r="C88" s="13"/>
      <c r="D88" s="13"/>
      <c r="E88" s="13"/>
      <c r="F88" s="13"/>
      <c r="G88" s="13"/>
      <c r="H88" s="13"/>
      <c r="I88" s="13"/>
      <c r="J88" s="13"/>
      <c r="K88" s="13"/>
      <c r="L88" s="13"/>
      <c r="M88" s="13"/>
      <c r="N88" s="13"/>
      <c r="O88" s="13"/>
      <c r="P88" s="13"/>
      <c r="Q88" s="13"/>
      <c r="R88" s="13"/>
      <c r="S88" s="13"/>
      <c r="T88" s="13"/>
      <c r="U88" s="13"/>
      <c r="V88" s="13"/>
      <c r="W88" s="13"/>
      <c r="X88" s="13"/>
      <c r="Y88" s="13"/>
    </row>
    <row r="89" spans="1:25">
      <c r="A89" s="13"/>
      <c r="B89" s="482"/>
      <c r="C89" s="13"/>
      <c r="D89" s="13"/>
      <c r="E89" s="13"/>
      <c r="F89" s="13"/>
      <c r="G89" s="13"/>
      <c r="H89" s="13"/>
      <c r="I89" s="13"/>
      <c r="J89" s="13"/>
      <c r="K89" s="13"/>
      <c r="L89" s="13"/>
      <c r="M89" s="13"/>
      <c r="N89" s="13"/>
      <c r="O89" s="13"/>
      <c r="P89" s="13"/>
      <c r="Q89" s="13"/>
      <c r="R89" s="13"/>
      <c r="S89" s="13"/>
      <c r="T89" s="13"/>
      <c r="U89" s="13"/>
      <c r="V89" s="13"/>
      <c r="W89" s="13"/>
      <c r="X89" s="13"/>
      <c r="Y89" s="13"/>
    </row>
    <row r="90" spans="1:25">
      <c r="A90" s="13"/>
      <c r="B90" s="482"/>
      <c r="C90" s="13"/>
      <c r="D90" s="13"/>
      <c r="E90" s="13"/>
      <c r="F90" s="13"/>
      <c r="G90" s="13"/>
      <c r="H90" s="13"/>
      <c r="I90" s="13"/>
      <c r="J90" s="13"/>
      <c r="K90" s="13"/>
      <c r="L90" s="13"/>
      <c r="M90" s="13"/>
      <c r="N90" s="13"/>
      <c r="O90" s="13"/>
      <c r="P90" s="13"/>
      <c r="Q90" s="13"/>
      <c r="R90" s="13"/>
      <c r="S90" s="13"/>
      <c r="T90" s="13"/>
      <c r="U90" s="13"/>
      <c r="V90" s="13"/>
      <c r="W90" s="13"/>
      <c r="X90" s="13"/>
      <c r="Y90" s="13"/>
    </row>
    <row r="91" spans="1:25">
      <c r="A91" s="13"/>
      <c r="B91" s="482"/>
      <c r="C91" s="13"/>
      <c r="D91" s="13"/>
      <c r="E91" s="13"/>
      <c r="F91" s="13"/>
      <c r="G91" s="13"/>
      <c r="H91" s="13"/>
      <c r="I91" s="13"/>
      <c r="J91" s="13"/>
      <c r="K91" s="13"/>
      <c r="L91" s="13"/>
      <c r="M91" s="13"/>
      <c r="N91" s="13"/>
      <c r="O91" s="13"/>
      <c r="P91" s="13"/>
      <c r="Q91" s="13"/>
      <c r="R91" s="13"/>
      <c r="S91" s="13"/>
      <c r="T91" s="13"/>
      <c r="U91" s="13"/>
      <c r="V91" s="13"/>
      <c r="W91" s="13"/>
      <c r="X91" s="13"/>
      <c r="Y91" s="13"/>
    </row>
    <row r="92" spans="1:25">
      <c r="A92" s="13"/>
      <c r="B92" s="482"/>
      <c r="C92" s="13"/>
      <c r="D92" s="13"/>
      <c r="E92" s="13"/>
      <c r="F92" s="13"/>
      <c r="G92" s="13"/>
      <c r="H92" s="13"/>
      <c r="I92" s="13"/>
      <c r="J92" s="13"/>
      <c r="K92" s="13"/>
      <c r="L92" s="13"/>
      <c r="M92" s="13"/>
      <c r="N92" s="13"/>
      <c r="O92" s="13"/>
      <c r="P92" s="13"/>
      <c r="Q92" s="13"/>
      <c r="R92" s="13"/>
      <c r="S92" s="13"/>
      <c r="T92" s="13"/>
      <c r="U92" s="13"/>
      <c r="V92" s="13"/>
      <c r="W92" s="13"/>
      <c r="X92" s="13"/>
      <c r="Y92" s="13"/>
    </row>
    <row r="93" spans="1:25">
      <c r="A93" s="13"/>
      <c r="B93" s="482"/>
      <c r="C93" s="13"/>
      <c r="D93" s="13"/>
      <c r="E93" s="13"/>
      <c r="F93" s="13"/>
      <c r="G93" s="13"/>
      <c r="H93" s="13"/>
      <c r="I93" s="13"/>
      <c r="J93" s="13"/>
      <c r="K93" s="13"/>
      <c r="L93" s="13"/>
      <c r="M93" s="13"/>
      <c r="N93" s="13"/>
      <c r="O93" s="13"/>
      <c r="P93" s="13"/>
      <c r="Q93" s="13"/>
      <c r="R93" s="13"/>
      <c r="S93" s="13"/>
      <c r="T93" s="13"/>
      <c r="U93" s="13"/>
      <c r="V93" s="13"/>
      <c r="W93" s="13"/>
      <c r="X93" s="13"/>
      <c r="Y93" s="13"/>
    </row>
    <row r="94" spans="1:25">
      <c r="A94" s="13"/>
      <c r="B94" s="482"/>
      <c r="C94" s="13"/>
      <c r="D94" s="13"/>
      <c r="E94" s="13"/>
      <c r="F94" s="13"/>
      <c r="G94" s="13"/>
      <c r="H94" s="13"/>
      <c r="I94" s="13"/>
      <c r="J94" s="13"/>
      <c r="K94" s="13"/>
      <c r="L94" s="13"/>
      <c r="M94" s="13"/>
      <c r="N94" s="13"/>
      <c r="O94" s="13"/>
      <c r="P94" s="13"/>
      <c r="Q94" s="13"/>
      <c r="R94" s="13"/>
      <c r="S94" s="13"/>
      <c r="T94" s="13"/>
      <c r="U94" s="13"/>
      <c r="V94" s="13"/>
      <c r="W94" s="13"/>
      <c r="X94" s="13"/>
      <c r="Y94" s="13"/>
    </row>
    <row r="95" spans="1:25">
      <c r="A95" s="13"/>
      <c r="B95" s="482"/>
      <c r="C95" s="13"/>
      <c r="D95" s="13"/>
      <c r="E95" s="13"/>
      <c r="F95" s="13"/>
      <c r="G95" s="13"/>
      <c r="H95" s="13"/>
      <c r="I95" s="13"/>
      <c r="J95" s="13"/>
      <c r="K95" s="13"/>
      <c r="L95" s="13"/>
      <c r="M95" s="13"/>
      <c r="N95" s="13"/>
      <c r="O95" s="13"/>
      <c r="P95" s="13"/>
      <c r="Q95" s="13"/>
      <c r="R95" s="13"/>
      <c r="S95" s="13"/>
      <c r="T95" s="13"/>
      <c r="U95" s="13"/>
      <c r="V95" s="13"/>
      <c r="W95" s="13"/>
      <c r="X95" s="13"/>
      <c r="Y95" s="13"/>
    </row>
    <row r="96" spans="1:25">
      <c r="A96" s="13"/>
      <c r="B96" s="482"/>
      <c r="C96" s="13"/>
      <c r="D96" s="13"/>
      <c r="E96" s="13"/>
      <c r="F96" s="13"/>
      <c r="G96" s="13"/>
      <c r="H96" s="13"/>
      <c r="I96" s="13"/>
      <c r="J96" s="13"/>
      <c r="K96" s="13"/>
      <c r="L96" s="13"/>
      <c r="M96" s="13"/>
      <c r="N96" s="13"/>
      <c r="O96" s="13"/>
      <c r="P96" s="13"/>
      <c r="Q96" s="13"/>
      <c r="R96" s="13"/>
      <c r="S96" s="13"/>
      <c r="T96" s="13"/>
      <c r="U96" s="13"/>
      <c r="V96" s="13"/>
      <c r="W96" s="13"/>
      <c r="X96" s="13"/>
      <c r="Y96" s="13"/>
    </row>
    <row r="97" spans="1:25">
      <c r="A97" s="13"/>
      <c r="B97" s="482"/>
      <c r="C97" s="13"/>
      <c r="D97" s="13"/>
      <c r="E97" s="13"/>
      <c r="F97" s="13"/>
      <c r="G97" s="13"/>
      <c r="H97" s="13"/>
      <c r="I97" s="13"/>
      <c r="J97" s="13"/>
      <c r="K97" s="13"/>
      <c r="L97" s="13"/>
      <c r="M97" s="13"/>
      <c r="N97" s="13"/>
      <c r="O97" s="13"/>
      <c r="P97" s="13"/>
      <c r="Q97" s="13"/>
      <c r="R97" s="13"/>
      <c r="S97" s="13"/>
      <c r="T97" s="13"/>
      <c r="U97" s="13"/>
      <c r="V97" s="13"/>
      <c r="W97" s="13"/>
      <c r="X97" s="13"/>
      <c r="Y97" s="13"/>
    </row>
    <row r="98" spans="1:25">
      <c r="A98" s="13"/>
      <c r="B98" s="482"/>
      <c r="C98" s="13"/>
      <c r="D98" s="13"/>
      <c r="E98" s="13"/>
      <c r="F98" s="13"/>
      <c r="G98" s="13"/>
      <c r="H98" s="13"/>
      <c r="I98" s="13"/>
      <c r="J98" s="13"/>
      <c r="K98" s="13"/>
      <c r="L98" s="13"/>
      <c r="M98" s="13"/>
      <c r="N98" s="13"/>
      <c r="O98" s="13"/>
      <c r="P98" s="13"/>
      <c r="Q98" s="13"/>
      <c r="R98" s="13"/>
      <c r="S98" s="13"/>
      <c r="T98" s="13"/>
      <c r="U98" s="13"/>
      <c r="V98" s="13"/>
      <c r="W98" s="13"/>
      <c r="X98" s="13"/>
      <c r="Y98" s="13"/>
    </row>
    <row r="99" spans="1:25">
      <c r="A99" s="13"/>
      <c r="B99" s="482"/>
      <c r="C99" s="13"/>
      <c r="D99" s="13"/>
      <c r="E99" s="13"/>
      <c r="F99" s="13"/>
      <c r="G99" s="13"/>
      <c r="H99" s="13"/>
      <c r="I99" s="13"/>
      <c r="J99" s="13"/>
      <c r="K99" s="13"/>
      <c r="L99" s="13"/>
      <c r="M99" s="13"/>
      <c r="N99" s="13"/>
      <c r="O99" s="13"/>
      <c r="P99" s="13"/>
      <c r="Q99" s="13"/>
      <c r="R99" s="13"/>
      <c r="S99" s="13"/>
      <c r="T99" s="13"/>
      <c r="U99" s="13"/>
      <c r="V99" s="13"/>
      <c r="W99" s="13"/>
      <c r="X99" s="13"/>
      <c r="Y99" s="13"/>
    </row>
    <row r="100" spans="1:25">
      <c r="A100" s="13"/>
      <c r="B100" s="482"/>
      <c r="C100" s="13"/>
      <c r="D100" s="13"/>
      <c r="E100" s="13"/>
      <c r="F100" s="13"/>
      <c r="G100" s="13"/>
      <c r="H100" s="13"/>
      <c r="I100" s="13"/>
      <c r="J100" s="13"/>
      <c r="K100" s="13"/>
      <c r="L100" s="13"/>
      <c r="M100" s="13"/>
      <c r="N100" s="13"/>
      <c r="O100" s="13"/>
      <c r="P100" s="13"/>
      <c r="Q100" s="13"/>
      <c r="R100" s="13"/>
      <c r="S100" s="13"/>
      <c r="T100" s="13"/>
      <c r="U100" s="13"/>
      <c r="V100" s="13"/>
      <c r="W100" s="13"/>
      <c r="X100" s="13"/>
      <c r="Y100" s="13"/>
    </row>
    <row r="101" spans="1:25">
      <c r="A101" s="13"/>
      <c r="B101" s="482"/>
      <c r="C101" s="13"/>
      <c r="D101" s="13"/>
      <c r="E101" s="13"/>
      <c r="F101" s="13"/>
      <c r="G101" s="13"/>
      <c r="H101" s="13"/>
      <c r="I101" s="13"/>
      <c r="J101" s="13"/>
      <c r="K101" s="13"/>
      <c r="L101" s="13"/>
      <c r="M101" s="13"/>
      <c r="N101" s="13"/>
      <c r="O101" s="13"/>
      <c r="P101" s="13"/>
      <c r="Q101" s="13"/>
      <c r="R101" s="13"/>
      <c r="S101" s="13"/>
      <c r="T101" s="13"/>
      <c r="U101" s="13"/>
      <c r="V101" s="13"/>
      <c r="W101" s="13"/>
      <c r="X101" s="13"/>
      <c r="Y101" s="13"/>
    </row>
    <row r="102" spans="1:25">
      <c r="A102" s="13"/>
      <c r="B102" s="482"/>
      <c r="C102" s="13"/>
      <c r="D102" s="13"/>
      <c r="E102" s="13"/>
      <c r="F102" s="13"/>
      <c r="G102" s="13"/>
      <c r="H102" s="13"/>
      <c r="I102" s="13"/>
      <c r="J102" s="13"/>
      <c r="K102" s="13"/>
      <c r="L102" s="13"/>
      <c r="M102" s="13"/>
      <c r="N102" s="13"/>
      <c r="O102" s="13"/>
      <c r="P102" s="13"/>
      <c r="Q102" s="13"/>
      <c r="R102" s="13"/>
      <c r="S102" s="13"/>
      <c r="T102" s="13"/>
      <c r="U102" s="13"/>
      <c r="V102" s="13"/>
      <c r="W102" s="13"/>
      <c r="X102" s="13"/>
      <c r="Y102" s="13"/>
    </row>
    <row r="103" spans="1:25">
      <c r="A103" s="13"/>
      <c r="B103" s="482"/>
      <c r="C103" s="13"/>
      <c r="D103" s="13"/>
      <c r="E103" s="13"/>
      <c r="F103" s="13"/>
      <c r="G103" s="13"/>
      <c r="H103" s="13"/>
      <c r="I103" s="13"/>
      <c r="J103" s="13"/>
      <c r="K103" s="13"/>
      <c r="L103" s="13"/>
      <c r="M103" s="13"/>
      <c r="N103" s="13"/>
      <c r="O103" s="13"/>
      <c r="P103" s="13"/>
      <c r="Q103" s="13"/>
      <c r="R103" s="13"/>
      <c r="S103" s="13"/>
      <c r="T103" s="13"/>
      <c r="U103" s="13"/>
      <c r="V103" s="13"/>
      <c r="W103" s="13"/>
      <c r="X103" s="13"/>
      <c r="Y103" s="13"/>
    </row>
    <row r="104" spans="1:25">
      <c r="A104" s="13"/>
      <c r="B104" s="482"/>
      <c r="C104" s="13"/>
      <c r="D104" s="13"/>
      <c r="E104" s="13"/>
      <c r="F104" s="13"/>
      <c r="G104" s="13"/>
      <c r="H104" s="13"/>
      <c r="I104" s="13"/>
      <c r="J104" s="13"/>
      <c r="K104" s="13"/>
      <c r="L104" s="13"/>
      <c r="M104" s="13"/>
      <c r="N104" s="13"/>
      <c r="O104" s="13"/>
      <c r="P104" s="13"/>
      <c r="Q104" s="13"/>
      <c r="R104" s="13"/>
      <c r="S104" s="13"/>
      <c r="T104" s="13"/>
      <c r="U104" s="13"/>
      <c r="V104" s="13"/>
      <c r="W104" s="13"/>
      <c r="X104" s="13"/>
      <c r="Y104" s="13"/>
    </row>
    <row r="105" spans="1:25">
      <c r="A105" s="13"/>
      <c r="B105" s="482"/>
      <c r="C105" s="13"/>
      <c r="D105" s="13"/>
      <c r="E105" s="13"/>
      <c r="F105" s="13"/>
      <c r="G105" s="13"/>
      <c r="H105" s="13"/>
      <c r="I105" s="13"/>
      <c r="J105" s="13"/>
      <c r="K105" s="13"/>
      <c r="L105" s="13"/>
      <c r="M105" s="13"/>
      <c r="N105" s="13"/>
      <c r="O105" s="13"/>
      <c r="P105" s="13"/>
      <c r="Q105" s="13"/>
      <c r="R105" s="13"/>
      <c r="S105" s="13"/>
      <c r="T105" s="13"/>
      <c r="U105" s="13"/>
      <c r="V105" s="13"/>
      <c r="W105" s="13"/>
      <c r="X105" s="13"/>
      <c r="Y105" s="13"/>
    </row>
  </sheetData>
  <pageMargins left="0.45" right="0.45" top="0.75" bottom="0.75" header="0.3" footer="0.3"/>
  <pageSetup scale="5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8"/>
  <sheetViews>
    <sheetView workbookViewId="0"/>
  </sheetViews>
  <sheetFormatPr defaultColWidth="9.33203125" defaultRowHeight="14.4"/>
  <cols>
    <col min="1" max="1" width="6.33203125" style="2" customWidth="1"/>
    <col min="2" max="2" width="138.6640625" style="2" customWidth="1"/>
    <col min="3" max="3" width="35.5546875" style="2" bestFit="1" customWidth="1"/>
    <col min="4" max="16384" width="9.33203125" style="2"/>
  </cols>
  <sheetData>
    <row r="1" spans="1:14">
      <c r="A1" s="152" t="s">
        <v>128</v>
      </c>
      <c r="B1" s="153"/>
      <c r="C1" s="66"/>
    </row>
    <row r="2" spans="1:14">
      <c r="A2" s="154" t="s">
        <v>129</v>
      </c>
      <c r="B2" s="153"/>
      <c r="C2" s="66"/>
    </row>
    <row r="3" spans="1:14">
      <c r="A3" s="155" t="s">
        <v>130</v>
      </c>
      <c r="B3" s="153"/>
      <c r="C3" s="66"/>
    </row>
    <row r="4" spans="1:14">
      <c r="A4" s="156" t="s">
        <v>131</v>
      </c>
      <c r="B4" s="157" t="s">
        <v>132</v>
      </c>
      <c r="C4" s="39"/>
    </row>
    <row r="5" spans="1:14">
      <c r="A5" s="156" t="s">
        <v>133</v>
      </c>
      <c r="B5" s="157" t="s">
        <v>134</v>
      </c>
      <c r="C5" s="39"/>
    </row>
    <row r="6" spans="1:14">
      <c r="A6" s="156" t="s">
        <v>135</v>
      </c>
      <c r="B6" s="157" t="s">
        <v>136</v>
      </c>
      <c r="C6" s="39"/>
    </row>
    <row r="7" spans="1:14">
      <c r="A7" s="156" t="s">
        <v>137</v>
      </c>
      <c r="B7" s="157" t="s">
        <v>138</v>
      </c>
      <c r="C7" s="39"/>
    </row>
    <row r="8" spans="1:14">
      <c r="A8" s="157" t="s">
        <v>130</v>
      </c>
      <c r="B8" s="103"/>
      <c r="C8" s="39"/>
    </row>
    <row r="9" spans="1:14" ht="42" customHeight="1">
      <c r="A9" s="502" t="s">
        <v>139</v>
      </c>
      <c r="B9" s="503"/>
      <c r="C9" s="67"/>
      <c r="D9" s="67"/>
      <c r="E9" s="67"/>
      <c r="F9" s="67"/>
      <c r="G9" s="67"/>
      <c r="H9" s="67"/>
      <c r="I9" s="67"/>
      <c r="J9" s="67"/>
      <c r="K9" s="67"/>
      <c r="L9" s="67"/>
      <c r="M9" s="67"/>
      <c r="N9" s="67"/>
    </row>
    <row r="10" spans="1:14">
      <c r="A10" s="157"/>
      <c r="B10" s="103"/>
      <c r="C10" s="39"/>
    </row>
    <row r="11" spans="1:14" ht="55.95" customHeight="1">
      <c r="A11" s="504" t="s">
        <v>140</v>
      </c>
      <c r="B11" s="505"/>
      <c r="C11" s="39"/>
    </row>
    <row r="12" spans="1:14">
      <c r="A12" s="157" t="s">
        <v>130</v>
      </c>
      <c r="B12" s="103"/>
      <c r="C12" s="39"/>
    </row>
    <row r="13" spans="1:14" ht="45.45" customHeight="1">
      <c r="A13" s="506" t="s">
        <v>141</v>
      </c>
      <c r="B13" s="505"/>
      <c r="C13" s="39"/>
    </row>
    <row r="14" spans="1:14">
      <c r="A14" s="157" t="s">
        <v>130</v>
      </c>
      <c r="B14" s="103"/>
      <c r="C14" s="39"/>
    </row>
    <row r="15" spans="1:14" ht="116.1" customHeight="1">
      <c r="A15" s="506" t="s">
        <v>142</v>
      </c>
      <c r="B15" s="505"/>
      <c r="C15" s="39"/>
    </row>
    <row r="16" spans="1:14">
      <c r="A16" s="103"/>
      <c r="B16" s="103"/>
      <c r="C16" s="39"/>
    </row>
    <row r="17" spans="1:3">
      <c r="A17" s="103"/>
      <c r="B17" s="103"/>
      <c r="C17" s="39"/>
    </row>
    <row r="18" spans="1:3">
      <c r="A18" s="76"/>
      <c r="B18" s="76"/>
    </row>
  </sheetData>
  <mergeCells count="4">
    <mergeCell ref="A9:B9"/>
    <mergeCell ref="A11:B11"/>
    <mergeCell ref="A13:B13"/>
    <mergeCell ref="A15:B15"/>
  </mergeCells>
  <printOptions horizontalCentered="1"/>
  <pageMargins left="0.45" right="0.45" top="0.75" bottom="0.5" header="0.3" footer="0.3"/>
  <pageSetup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51"/>
  <sheetViews>
    <sheetView workbookViewId="0">
      <selection activeCell="H13" sqref="H13"/>
    </sheetView>
  </sheetViews>
  <sheetFormatPr defaultColWidth="9.109375" defaultRowHeight="14.4" outlineLevelRow="1"/>
  <cols>
    <col min="1" max="1" width="34.88671875" style="2" customWidth="1"/>
    <col min="2" max="2" width="12.6640625" style="2" bestFit="1" customWidth="1"/>
    <col min="3" max="3" width="1.6640625" style="2" customWidth="1"/>
    <col min="4" max="4" width="11.33203125" style="2" customWidth="1"/>
    <col min="5" max="5" width="11.5546875" style="2" customWidth="1"/>
    <col min="6" max="6" width="10.88671875" style="2" bestFit="1" customWidth="1"/>
    <col min="7" max="7" width="15.5546875" style="2" bestFit="1" customWidth="1"/>
    <col min="8" max="8" width="14" style="2" bestFit="1" customWidth="1"/>
    <col min="9" max="9" width="1.109375" style="2" customWidth="1"/>
    <col min="10" max="10" width="9.6640625" style="2" bestFit="1" customWidth="1"/>
    <col min="11" max="16384" width="9.109375" style="2"/>
  </cols>
  <sheetData>
    <row r="1" spans="1:10">
      <c r="A1" s="1"/>
    </row>
    <row r="3" spans="1:10">
      <c r="B3" s="10" t="s">
        <v>23</v>
      </c>
      <c r="C3" s="1"/>
      <c r="D3" s="11" t="s">
        <v>19</v>
      </c>
      <c r="E3" s="11" t="s">
        <v>20</v>
      </c>
      <c r="F3" s="11" t="s">
        <v>22</v>
      </c>
      <c r="G3" s="11" t="s">
        <v>21</v>
      </c>
      <c r="H3" s="11" t="s">
        <v>30</v>
      </c>
      <c r="I3" s="3"/>
      <c r="J3" s="12" t="s">
        <v>25</v>
      </c>
    </row>
    <row r="4" spans="1:10">
      <c r="A4" s="2" t="s">
        <v>0</v>
      </c>
      <c r="B4" s="4">
        <v>2192.3539999999998</v>
      </c>
      <c r="C4" s="5"/>
      <c r="D4" s="4">
        <v>1264.1320000000001</v>
      </c>
      <c r="E4" s="4">
        <v>547.83100000000002</v>
      </c>
      <c r="F4" s="4">
        <v>270.42500000000001</v>
      </c>
      <c r="G4" s="4">
        <v>92.763000000000005</v>
      </c>
      <c r="H4" s="4">
        <v>17.202999999999999</v>
      </c>
      <c r="I4" s="5"/>
      <c r="J4" s="4">
        <f>SUM(D4:H4)</f>
        <v>2192.3540000000003</v>
      </c>
    </row>
    <row r="5" spans="1:10">
      <c r="A5" s="2" t="s">
        <v>1</v>
      </c>
      <c r="B5" s="4">
        <v>1149.8610000000001</v>
      </c>
      <c r="C5" s="5"/>
      <c r="D5" s="4">
        <f>+D6-D4</f>
        <v>592.75499999999988</v>
      </c>
      <c r="E5" s="4">
        <f>+E6-E4</f>
        <v>406.90300000000002</v>
      </c>
      <c r="F5" s="4">
        <f>+F6-F4</f>
        <v>150.20299999999997</v>
      </c>
      <c r="G5" s="4">
        <f>+G6-G4</f>
        <v>0</v>
      </c>
      <c r="H5" s="4">
        <f>+H6-H4</f>
        <v>0</v>
      </c>
      <c r="I5" s="5"/>
      <c r="J5" s="4">
        <f>SUM(D5:H5)</f>
        <v>1149.8609999999999</v>
      </c>
    </row>
    <row r="6" spans="1:10">
      <c r="A6" s="2" t="s">
        <v>2</v>
      </c>
      <c r="B6" s="4">
        <f>SUM(B4:B5)</f>
        <v>3342.2150000000001</v>
      </c>
      <c r="C6" s="5"/>
      <c r="D6" s="4">
        <v>1856.8869999999999</v>
      </c>
      <c r="E6" s="4">
        <v>954.73400000000004</v>
      </c>
      <c r="F6" s="4">
        <v>420.62799999999999</v>
      </c>
      <c r="G6" s="4">
        <v>92.763000000000005</v>
      </c>
      <c r="H6" s="4">
        <v>17.202999999999999</v>
      </c>
      <c r="I6" s="4"/>
      <c r="J6" s="4">
        <f>SUM(D6:I6)</f>
        <v>3342.2150000000001</v>
      </c>
    </row>
    <row r="7" spans="1:10">
      <c r="B7" s="4"/>
      <c r="C7" s="5"/>
      <c r="D7" s="4"/>
      <c r="E7" s="4"/>
      <c r="F7" s="4"/>
      <c r="G7" s="4"/>
      <c r="H7" s="4"/>
      <c r="I7" s="5"/>
      <c r="J7" s="5"/>
    </row>
    <row r="8" spans="1:10">
      <c r="A8" s="2" t="s">
        <v>3</v>
      </c>
      <c r="B8" s="4">
        <v>-2318.5619999999999</v>
      </c>
      <c r="C8" s="5"/>
      <c r="D8" s="4">
        <v>-1288.799</v>
      </c>
      <c r="E8" s="4">
        <v>-729.97699999999998</v>
      </c>
      <c r="F8" s="4">
        <v>-299.786</v>
      </c>
      <c r="G8" s="4">
        <v>0</v>
      </c>
      <c r="H8" s="4">
        <v>0</v>
      </c>
      <c r="I8" s="4"/>
      <c r="J8" s="4">
        <f>SUM(D8:I8)</f>
        <v>-2318.5619999999999</v>
      </c>
    </row>
    <row r="9" spans="1:10">
      <c r="A9" s="2" t="s">
        <v>4</v>
      </c>
      <c r="B9" s="4">
        <v>-712.37400000000002</v>
      </c>
      <c r="C9" s="5"/>
      <c r="D9" s="4">
        <v>-350.97300000000001</v>
      </c>
      <c r="E9" s="4">
        <v>-164.68600000000001</v>
      </c>
      <c r="F9" s="4">
        <v>-77.909000000000006</v>
      </c>
      <c r="G9" s="4">
        <v>-71.308999999999997</v>
      </c>
      <c r="H9" s="4">
        <v>-47.497</v>
      </c>
      <c r="I9" s="4"/>
      <c r="J9" s="4">
        <f t="shared" ref="J9:J18" si="0">SUM(D9:I9)</f>
        <v>-712.37399999999991</v>
      </c>
    </row>
    <row r="10" spans="1:10">
      <c r="A10" s="2" t="s">
        <v>5</v>
      </c>
      <c r="B10" s="4">
        <v>-100.386</v>
      </c>
      <c r="C10" s="5"/>
      <c r="D10" s="4">
        <v>-71.724000000000004</v>
      </c>
      <c r="E10" s="4">
        <v>-18.844999999999999</v>
      </c>
      <c r="F10" s="4">
        <v>-4.3890000000000002</v>
      </c>
      <c r="G10" s="4">
        <v>-4.8849999999999998</v>
      </c>
      <c r="H10" s="4">
        <v>-0.54300000000000004</v>
      </c>
      <c r="I10" s="4"/>
      <c r="J10" s="4">
        <f t="shared" si="0"/>
        <v>-100.38600000000001</v>
      </c>
    </row>
    <row r="11" spans="1:10">
      <c r="A11" s="2" t="s">
        <v>6</v>
      </c>
      <c r="B11" s="4">
        <f>SUM(B8:B10)</f>
        <v>-3131.3219999999997</v>
      </c>
      <c r="C11" s="5"/>
      <c r="D11" s="4">
        <f>SUM(D8:D10)</f>
        <v>-1711.4959999999999</v>
      </c>
      <c r="E11" s="4">
        <f>SUM(E8:E10)</f>
        <v>-913.50800000000004</v>
      </c>
      <c r="F11" s="4">
        <f>SUM(F8:F10)</f>
        <v>-382.084</v>
      </c>
      <c r="G11" s="4">
        <f>SUM(G8:G10)</f>
        <v>-76.194000000000003</v>
      </c>
      <c r="H11" s="4">
        <f>SUM(H8:H10)</f>
        <v>-48.04</v>
      </c>
      <c r="I11" s="4"/>
      <c r="J11" s="4">
        <f t="shared" si="0"/>
        <v>-3131.3219999999997</v>
      </c>
    </row>
    <row r="12" spans="1:10">
      <c r="B12" s="4"/>
      <c r="C12" s="5"/>
      <c r="D12" s="4"/>
      <c r="E12" s="4"/>
      <c r="F12" s="4"/>
      <c r="G12" s="4"/>
      <c r="H12" s="4"/>
      <c r="I12" s="5"/>
      <c r="J12" s="5"/>
    </row>
    <row r="13" spans="1:10">
      <c r="A13" s="2" t="s">
        <v>7</v>
      </c>
      <c r="B13" s="4">
        <v>11.298</v>
      </c>
      <c r="C13" s="5"/>
      <c r="D13" s="4">
        <v>0</v>
      </c>
      <c r="E13" s="4">
        <v>0</v>
      </c>
      <c r="F13" s="4">
        <v>0</v>
      </c>
      <c r="G13" s="4">
        <v>0</v>
      </c>
      <c r="H13" s="4">
        <v>11.298</v>
      </c>
      <c r="I13" s="4"/>
      <c r="J13" s="4">
        <f t="shared" si="0"/>
        <v>11.298</v>
      </c>
    </row>
    <row r="14" spans="1:10">
      <c r="B14" s="4"/>
      <c r="C14" s="5"/>
      <c r="D14" s="4"/>
      <c r="E14" s="4"/>
      <c r="F14" s="4"/>
      <c r="G14" s="4"/>
      <c r="H14" s="4"/>
      <c r="I14" s="5"/>
      <c r="J14" s="5"/>
    </row>
    <row r="15" spans="1:10">
      <c r="A15" s="2" t="s">
        <v>8</v>
      </c>
      <c r="B15" s="4">
        <f>+B13+B11+B6</f>
        <v>222.19100000000026</v>
      </c>
      <c r="C15" s="5"/>
      <c r="D15" s="4">
        <f>+D13+SUM(D8:D10)+D6</f>
        <v>145.39100000000008</v>
      </c>
      <c r="E15" s="4">
        <f>+E13+SUM(E8:E10)+E6</f>
        <v>41.225999999999999</v>
      </c>
      <c r="F15" s="4">
        <f>+F13+SUM(F8:F10)+F6</f>
        <v>38.543999999999983</v>
      </c>
      <c r="G15" s="4">
        <f>+G13+SUM(G8:G10)+G6</f>
        <v>16.569000000000003</v>
      </c>
      <c r="H15" s="4">
        <f>+H13+SUM(H8:H10)+H6</f>
        <v>-19.538999999999998</v>
      </c>
      <c r="I15" s="4"/>
      <c r="J15" s="4">
        <f t="shared" si="0"/>
        <v>222.19100000000009</v>
      </c>
    </row>
    <row r="16" spans="1:10">
      <c r="B16" s="4"/>
      <c r="C16" s="5"/>
      <c r="D16" s="4"/>
      <c r="E16" s="4"/>
      <c r="F16" s="4"/>
      <c r="G16" s="4"/>
      <c r="H16" s="4"/>
      <c r="I16" s="5"/>
      <c r="J16" s="5"/>
    </row>
    <row r="17" spans="1:11">
      <c r="A17" s="2" t="s">
        <v>9</v>
      </c>
      <c r="B17" s="4">
        <v>75.384</v>
      </c>
      <c r="C17" s="5"/>
      <c r="D17" s="6">
        <v>3.85</v>
      </c>
      <c r="E17" s="6">
        <v>0</v>
      </c>
      <c r="F17" s="6">
        <v>0</v>
      </c>
      <c r="G17" s="6">
        <v>6</v>
      </c>
      <c r="H17" s="6">
        <v>65.5</v>
      </c>
      <c r="I17" s="6"/>
      <c r="J17" s="4">
        <f t="shared" si="0"/>
        <v>75.349999999999994</v>
      </c>
    </row>
    <row r="18" spans="1:11">
      <c r="A18" s="2" t="s">
        <v>10</v>
      </c>
      <c r="B18" s="4">
        <v>3.1859999999999999</v>
      </c>
      <c r="C18" s="5"/>
      <c r="D18" s="6">
        <v>1.95</v>
      </c>
      <c r="E18" s="6">
        <v>0.8</v>
      </c>
      <c r="F18" s="6">
        <v>0</v>
      </c>
      <c r="G18" s="6">
        <v>0.4</v>
      </c>
      <c r="H18" s="6">
        <v>0</v>
      </c>
      <c r="I18" s="6"/>
      <c r="J18" s="4">
        <f t="shared" si="0"/>
        <v>3.15</v>
      </c>
    </row>
    <row r="19" spans="1:11">
      <c r="A19" s="2" t="s">
        <v>16</v>
      </c>
      <c r="B19" s="4">
        <v>-1.2310000000000001</v>
      </c>
      <c r="C19" s="5"/>
      <c r="D19" s="6">
        <v>0</v>
      </c>
      <c r="E19" s="6">
        <v>0</v>
      </c>
      <c r="F19" s="6">
        <v>0</v>
      </c>
      <c r="G19" s="6">
        <v>-1.17</v>
      </c>
      <c r="H19" s="6">
        <v>0</v>
      </c>
      <c r="I19" s="6"/>
      <c r="J19" s="4">
        <f>SUM(D19:I19)</f>
        <v>-1.17</v>
      </c>
    </row>
    <row r="20" spans="1:11">
      <c r="B20" s="4"/>
      <c r="C20" s="5"/>
      <c r="D20" s="6"/>
      <c r="E20" s="6"/>
      <c r="F20" s="6"/>
      <c r="G20" s="6"/>
      <c r="H20" s="6"/>
      <c r="I20" s="6"/>
      <c r="J20" s="4"/>
    </row>
    <row r="21" spans="1:11">
      <c r="A21" s="2" t="s">
        <v>24</v>
      </c>
      <c r="B21" s="4">
        <f>-B10</f>
        <v>100.386</v>
      </c>
      <c r="C21" s="5"/>
      <c r="D21" s="4">
        <f>-D10</f>
        <v>71.724000000000004</v>
      </c>
      <c r="E21" s="4">
        <f>-E10</f>
        <v>18.844999999999999</v>
      </c>
      <c r="F21" s="4">
        <f>-F10</f>
        <v>4.3890000000000002</v>
      </c>
      <c r="G21" s="4">
        <f>-G10</f>
        <v>4.8849999999999998</v>
      </c>
      <c r="H21" s="4">
        <f>-H10</f>
        <v>0.54300000000000004</v>
      </c>
      <c r="I21" s="4"/>
      <c r="J21" s="4">
        <f>SUM(D21:I21)</f>
        <v>100.38600000000001</v>
      </c>
    </row>
    <row r="22" spans="1:11">
      <c r="A22" s="15" t="s">
        <v>18</v>
      </c>
      <c r="B22" s="16">
        <f>+B21+B15+SUM(B17:B19)</f>
        <v>399.91600000000022</v>
      </c>
      <c r="C22" s="17"/>
      <c r="D22" s="16">
        <f>+D21+D15+SUM(D17:D19)</f>
        <v>222.91500000000008</v>
      </c>
      <c r="E22" s="16">
        <f>+E21+E15+SUM(E17:E19)</f>
        <v>60.870999999999995</v>
      </c>
      <c r="F22" s="16">
        <f>+F21+F15+SUM(F17:F19)</f>
        <v>42.932999999999986</v>
      </c>
      <c r="G22" s="16">
        <f>+G21+G15+SUM(G17:G19)</f>
        <v>26.684000000000001</v>
      </c>
      <c r="H22" s="16">
        <f>+H21+H15+SUM(H17:H19)</f>
        <v>46.504000000000005</v>
      </c>
      <c r="I22" s="18"/>
      <c r="J22" s="16">
        <f>SUM(D22:I22)</f>
        <v>399.9070000000001</v>
      </c>
    </row>
    <row r="23" spans="1:11">
      <c r="A23" s="2" t="s">
        <v>26</v>
      </c>
      <c r="B23" s="4">
        <f>+B24-B22</f>
        <v>12.583999999999776</v>
      </c>
      <c r="C23" s="5"/>
      <c r="D23" s="4">
        <f>+D24-D22</f>
        <v>7.4939999999999145</v>
      </c>
      <c r="E23" s="4">
        <f>+E24-E22</f>
        <v>7.7060000000000031</v>
      </c>
      <c r="F23" s="4">
        <f>+F24-F22</f>
        <v>0.26700000000001722</v>
      </c>
      <c r="G23" s="4">
        <f>+G24-G22</f>
        <v>-2.7740000000000009</v>
      </c>
      <c r="H23" s="4">
        <f>+H24-H22</f>
        <v>-5.1000000000001933E-2</v>
      </c>
      <c r="I23" s="6"/>
      <c r="J23" s="4">
        <f>SUM(D23:I23)-0.05</f>
        <v>12.591999999999931</v>
      </c>
    </row>
    <row r="24" spans="1:11">
      <c r="A24" s="15" t="s">
        <v>17</v>
      </c>
      <c r="B24" s="16">
        <v>412.5</v>
      </c>
      <c r="C24" s="17"/>
      <c r="D24" s="16">
        <v>230.40899999999999</v>
      </c>
      <c r="E24" s="16">
        <v>68.576999999999998</v>
      </c>
      <c r="F24" s="16">
        <v>43.2</v>
      </c>
      <c r="G24" s="16">
        <v>23.91</v>
      </c>
      <c r="H24" s="16">
        <v>46.453000000000003</v>
      </c>
      <c r="I24" s="18"/>
      <c r="J24" s="16">
        <f>SUM(D24:I24)</f>
        <v>412.54899999999998</v>
      </c>
    </row>
    <row r="25" spans="1:11">
      <c r="B25" s="4"/>
      <c r="C25" s="5"/>
      <c r="D25" s="4"/>
      <c r="E25" s="4"/>
      <c r="F25" s="4"/>
      <c r="G25" s="4"/>
      <c r="H25" s="4"/>
      <c r="I25" s="6"/>
      <c r="J25" s="4"/>
    </row>
    <row r="26" spans="1:11" outlineLevel="1">
      <c r="A26" s="1" t="s">
        <v>48</v>
      </c>
      <c r="B26" s="4"/>
      <c r="C26" s="5"/>
      <c r="D26" s="4"/>
      <c r="E26" s="4"/>
      <c r="F26" s="4"/>
      <c r="G26" s="4"/>
      <c r="H26" s="4"/>
      <c r="I26" s="6"/>
      <c r="J26" s="4"/>
    </row>
    <row r="27" spans="1:11" outlineLevel="1">
      <c r="A27" s="2" t="s">
        <v>18</v>
      </c>
      <c r="B27" s="4">
        <f>+B22</f>
        <v>399.91600000000022</v>
      </c>
      <c r="C27" s="5"/>
      <c r="D27" s="4"/>
      <c r="E27" s="4"/>
      <c r="F27" s="4"/>
      <c r="G27" s="4"/>
      <c r="H27" s="4"/>
      <c r="I27" s="6"/>
      <c r="J27" s="4">
        <f>+J22</f>
        <v>399.9070000000001</v>
      </c>
    </row>
    <row r="28" spans="1:11" outlineLevel="1">
      <c r="A28" s="2" t="s">
        <v>5</v>
      </c>
      <c r="B28" s="4">
        <f>-B21</f>
        <v>-100.386</v>
      </c>
      <c r="C28" s="5"/>
      <c r="D28" s="4"/>
      <c r="E28" s="4"/>
      <c r="F28" s="4"/>
      <c r="G28" s="4"/>
      <c r="H28" s="4"/>
      <c r="I28" s="6"/>
      <c r="J28" s="4">
        <f>-J21</f>
        <v>-100.38600000000001</v>
      </c>
    </row>
    <row r="29" spans="1:11" outlineLevel="1">
      <c r="A29" s="2" t="s">
        <v>11</v>
      </c>
      <c r="B29" s="4">
        <v>1.427</v>
      </c>
      <c r="C29" s="5"/>
      <c r="D29" s="4"/>
      <c r="E29" s="4"/>
      <c r="F29" s="4"/>
      <c r="G29" s="4"/>
      <c r="H29" s="4"/>
      <c r="I29" s="6"/>
      <c r="J29" s="4">
        <v>1.427</v>
      </c>
    </row>
    <row r="30" spans="1:11" outlineLevel="1">
      <c r="A30" s="2" t="s">
        <v>12</v>
      </c>
      <c r="B30" s="4">
        <v>-35.43</v>
      </c>
      <c r="C30" s="5"/>
      <c r="D30" s="4"/>
      <c r="E30" s="4"/>
      <c r="F30" s="4"/>
      <c r="G30" s="4"/>
      <c r="H30" s="4"/>
      <c r="I30" s="4"/>
      <c r="J30" s="4">
        <v>-35.43</v>
      </c>
      <c r="K30" s="37" t="s">
        <v>81</v>
      </c>
    </row>
    <row r="31" spans="1:11" outlineLevel="1">
      <c r="A31" s="2" t="s">
        <v>13</v>
      </c>
      <c r="B31" s="4">
        <f>SUM(B27:B30)</f>
        <v>265.52700000000021</v>
      </c>
      <c r="C31" s="5"/>
      <c r="D31" s="4"/>
      <c r="E31" s="4"/>
      <c r="F31" s="4"/>
      <c r="G31" s="4"/>
      <c r="H31" s="4"/>
      <c r="I31" s="4"/>
      <c r="J31" s="4">
        <f>SUM(J27:J30)</f>
        <v>265.51800000000009</v>
      </c>
    </row>
    <row r="32" spans="1:11" outlineLevel="1">
      <c r="A32" s="2" t="s">
        <v>14</v>
      </c>
      <c r="B32" s="4">
        <v>-68.361999999999995</v>
      </c>
      <c r="C32" s="5"/>
      <c r="D32" s="4"/>
      <c r="E32" s="4"/>
      <c r="F32" s="4"/>
      <c r="G32" s="4"/>
      <c r="H32" s="4"/>
      <c r="I32" s="4"/>
      <c r="J32" s="4">
        <v>-68.361999999999995</v>
      </c>
    </row>
    <row r="33" spans="1:12" ht="15" outlineLevel="1" thickBot="1">
      <c r="A33" s="21" t="s">
        <v>15</v>
      </c>
      <c r="B33" s="22">
        <f>+B31+B32</f>
        <v>197.16500000000022</v>
      </c>
      <c r="C33" s="23"/>
      <c r="D33" s="22"/>
      <c r="E33" s="22"/>
      <c r="F33" s="22"/>
      <c r="G33" s="22"/>
      <c r="H33" s="22"/>
      <c r="I33" s="22"/>
      <c r="J33" s="22">
        <f>+J31+J32</f>
        <v>197.15600000000009</v>
      </c>
    </row>
    <row r="34" spans="1:12" ht="15" thickTop="1">
      <c r="C34" s="5"/>
      <c r="D34" s="4"/>
      <c r="E34" s="4"/>
      <c r="F34" s="4"/>
      <c r="G34" s="4"/>
      <c r="H34" s="4"/>
      <c r="I34" s="4"/>
      <c r="J34" s="4"/>
    </row>
    <row r="36" spans="1:12">
      <c r="A36" s="37" t="s">
        <v>82</v>
      </c>
      <c r="B36" s="4"/>
      <c r="C36" s="5"/>
      <c r="D36" s="4"/>
      <c r="E36" s="4"/>
      <c r="F36" s="4"/>
      <c r="G36" s="4"/>
      <c r="H36" s="4"/>
      <c r="I36" s="4"/>
      <c r="J36" s="4"/>
    </row>
    <row r="37" spans="1:12">
      <c r="B37" s="5"/>
      <c r="C37" s="5"/>
      <c r="D37" s="5"/>
      <c r="E37" s="5"/>
      <c r="F37" s="5"/>
      <c r="G37" s="5"/>
      <c r="H37" s="5"/>
      <c r="I37" s="5"/>
      <c r="J37" s="5"/>
    </row>
    <row r="38" spans="1:12">
      <c r="B38" s="4"/>
      <c r="C38" s="5"/>
      <c r="D38" s="4"/>
      <c r="E38" s="4"/>
      <c r="F38" s="4"/>
      <c r="G38" s="4"/>
      <c r="H38" s="4"/>
      <c r="I38" s="5"/>
      <c r="J38" s="4"/>
    </row>
    <row r="39" spans="1:12">
      <c r="B39" s="4"/>
      <c r="C39" s="5"/>
      <c r="D39" s="4"/>
      <c r="E39" s="4"/>
      <c r="F39" s="4"/>
      <c r="G39" s="4"/>
      <c r="H39" s="4"/>
      <c r="I39" s="5"/>
      <c r="J39" s="4"/>
    </row>
    <row r="40" spans="1:12">
      <c r="B40" s="4"/>
      <c r="C40" s="5"/>
      <c r="D40" s="4"/>
      <c r="E40" s="4"/>
      <c r="F40" s="4"/>
      <c r="G40" s="4"/>
      <c r="H40" s="4"/>
      <c r="I40" s="4"/>
      <c r="J40" s="4"/>
    </row>
    <row r="43" spans="1:12">
      <c r="B43" s="5"/>
      <c r="C43" s="5"/>
      <c r="D43" s="5"/>
      <c r="E43" s="5"/>
      <c r="F43" s="5"/>
      <c r="G43" s="5"/>
      <c r="H43" s="5"/>
      <c r="L43" s="5"/>
    </row>
    <row r="44" spans="1:12">
      <c r="A44" s="7"/>
      <c r="B44" s="4"/>
      <c r="C44" s="4"/>
      <c r="D44" s="4"/>
      <c r="E44" s="4"/>
      <c r="F44" s="4"/>
      <c r="G44" s="4"/>
      <c r="H44" s="4"/>
      <c r="I44" s="8"/>
      <c r="J44" s="8"/>
    </row>
    <row r="45" spans="1:12">
      <c r="A45" s="7"/>
      <c r="B45" s="4"/>
      <c r="C45" s="4"/>
      <c r="D45" s="4"/>
      <c r="E45" s="4"/>
      <c r="F45" s="4"/>
      <c r="G45" s="4"/>
      <c r="H45" s="4"/>
      <c r="I45" s="8"/>
      <c r="J45" s="8"/>
    </row>
    <row r="46" spans="1:12">
      <c r="A46" s="7"/>
      <c r="B46" s="4"/>
      <c r="C46" s="4"/>
      <c r="D46" s="4"/>
      <c r="E46" s="4"/>
      <c r="F46" s="4"/>
      <c r="G46" s="4"/>
      <c r="H46" s="4"/>
      <c r="I46" s="8"/>
      <c r="J46" s="8"/>
    </row>
    <row r="47" spans="1:12">
      <c r="A47" s="7"/>
      <c r="B47" s="4"/>
      <c r="C47" s="4"/>
      <c r="D47" s="4"/>
      <c r="E47" s="4"/>
      <c r="F47" s="4"/>
      <c r="G47" s="4"/>
      <c r="H47" s="4"/>
      <c r="I47" s="8"/>
      <c r="J47" s="8"/>
    </row>
    <row r="48" spans="1:12">
      <c r="A48" s="7"/>
      <c r="B48" s="4"/>
      <c r="C48" s="4"/>
      <c r="D48" s="4"/>
      <c r="E48" s="4"/>
      <c r="F48" s="4"/>
      <c r="G48" s="4"/>
      <c r="H48" s="4"/>
      <c r="I48" s="8"/>
      <c r="J48" s="8"/>
    </row>
    <row r="49" spans="1:10">
      <c r="A49" s="7"/>
      <c r="B49" s="4"/>
      <c r="C49" s="4"/>
      <c r="D49" s="4"/>
      <c r="E49" s="4"/>
      <c r="F49" s="4"/>
      <c r="G49" s="4"/>
      <c r="H49" s="4"/>
      <c r="I49" s="4"/>
      <c r="J49" s="8"/>
    </row>
    <row r="51" spans="1:10">
      <c r="I51" s="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48574"/>
  <sheetViews>
    <sheetView tabSelected="1" topLeftCell="A22" workbookViewId="0">
      <selection activeCell="A26" sqref="A26"/>
    </sheetView>
  </sheetViews>
  <sheetFormatPr defaultColWidth="9.109375" defaultRowHeight="14.4"/>
  <cols>
    <col min="1" max="1" width="47.33203125" style="2" customWidth="1"/>
    <col min="2" max="2" width="18.6640625" style="2" customWidth="1"/>
    <col min="3" max="3" width="1.33203125" style="13" customWidth="1"/>
    <col min="4" max="6" width="18.6640625" style="2" customWidth="1"/>
    <col min="7" max="7" width="1.109375" style="13" customWidth="1"/>
    <col min="8" max="8" width="18.6640625" style="2" customWidth="1"/>
    <col min="9" max="9" width="9.88671875" style="13" customWidth="1"/>
    <col min="10" max="16384" width="9.109375" style="13"/>
  </cols>
  <sheetData>
    <row r="1" spans="1:13">
      <c r="A1" s="107" t="s">
        <v>145</v>
      </c>
      <c r="B1" s="72"/>
      <c r="C1" s="73"/>
      <c r="D1" s="72"/>
      <c r="E1" s="72"/>
      <c r="F1" s="72"/>
      <c r="G1" s="73"/>
      <c r="H1" s="72"/>
      <c r="I1" s="74"/>
      <c r="J1" s="74"/>
    </row>
    <row r="2" spans="1:13">
      <c r="A2" s="373" t="s">
        <v>215</v>
      </c>
      <c r="B2" s="72"/>
      <c r="C2" s="73"/>
      <c r="D2" s="493"/>
      <c r="E2" s="493"/>
      <c r="F2" s="493"/>
      <c r="G2" s="73"/>
      <c r="H2" s="72"/>
      <c r="I2" s="74"/>
      <c r="J2" s="74"/>
    </row>
    <row r="3" spans="1:13">
      <c r="A3" s="76"/>
      <c r="B3" s="76"/>
      <c r="C3" s="74"/>
      <c r="D3" s="493" t="s">
        <v>255</v>
      </c>
      <c r="E3" s="493"/>
      <c r="F3" s="493"/>
      <c r="G3" s="74"/>
      <c r="H3" s="76"/>
      <c r="I3" s="74"/>
      <c r="J3" s="74"/>
    </row>
    <row r="4" spans="1:13">
      <c r="A4" s="76"/>
      <c r="B4" s="77" t="s">
        <v>97</v>
      </c>
      <c r="C4" s="78"/>
      <c r="D4" s="490" t="s">
        <v>51</v>
      </c>
      <c r="E4" s="490"/>
      <c r="F4" s="490"/>
      <c r="G4" s="78"/>
      <c r="H4" s="78"/>
      <c r="I4" s="74"/>
      <c r="J4" s="74"/>
    </row>
    <row r="5" spans="1:13" ht="28.95" customHeight="1">
      <c r="A5" s="76"/>
      <c r="B5" s="109" t="s">
        <v>143</v>
      </c>
      <c r="C5" s="413"/>
      <c r="D5" s="110" t="s">
        <v>95</v>
      </c>
      <c r="E5" s="111" t="s">
        <v>32</v>
      </c>
      <c r="F5" s="111" t="s">
        <v>14</v>
      </c>
      <c r="G5" s="414"/>
      <c r="H5" s="110" t="s">
        <v>144</v>
      </c>
      <c r="I5" s="79"/>
      <c r="J5" s="74"/>
    </row>
    <row r="6" spans="1:13">
      <c r="A6" s="367" t="s">
        <v>132</v>
      </c>
      <c r="B6" s="170">
        <v>2954.6</v>
      </c>
      <c r="C6" s="89"/>
      <c r="D6" s="170"/>
      <c r="E6" s="170"/>
      <c r="F6" s="170"/>
      <c r="G6" s="89"/>
      <c r="H6" s="170">
        <f>B6+SUM(D6:E6)</f>
        <v>2954.6</v>
      </c>
      <c r="I6" s="79"/>
      <c r="J6" s="79"/>
    </row>
    <row r="7" spans="1:13">
      <c r="A7" s="368" t="s">
        <v>49</v>
      </c>
      <c r="B7" s="80">
        <v>1381.6</v>
      </c>
      <c r="C7" s="79"/>
      <c r="D7" s="80"/>
      <c r="E7" s="80"/>
      <c r="F7" s="80"/>
      <c r="G7" s="81"/>
      <c r="H7" s="80">
        <f>B7+SUM(D7:E7)</f>
        <v>1381.6</v>
      </c>
      <c r="I7" s="79"/>
      <c r="J7" s="79"/>
    </row>
    <row r="8" spans="1:13">
      <c r="A8" s="367" t="s">
        <v>152</v>
      </c>
      <c r="B8" s="169">
        <f>SUM(B6:B7)</f>
        <v>4336.2</v>
      </c>
      <c r="C8" s="77"/>
      <c r="D8" s="169"/>
      <c r="E8" s="169"/>
      <c r="F8" s="169"/>
      <c r="G8" s="90"/>
      <c r="H8" s="169">
        <f>SUM(H6:H7)</f>
        <v>4336.2</v>
      </c>
      <c r="I8" s="81"/>
      <c r="J8" s="81"/>
    </row>
    <row r="9" spans="1:13" ht="3.75" customHeight="1">
      <c r="A9" s="368"/>
      <c r="B9" s="82"/>
      <c r="C9" s="79"/>
      <c r="D9" s="82"/>
      <c r="E9" s="82"/>
      <c r="F9" s="82"/>
      <c r="G9" s="81"/>
      <c r="H9" s="82"/>
      <c r="I9" s="79"/>
      <c r="J9" s="79"/>
    </row>
    <row r="10" spans="1:13">
      <c r="A10" s="368" t="s">
        <v>167</v>
      </c>
      <c r="B10" s="82">
        <v>2974.2</v>
      </c>
      <c r="C10" s="79"/>
      <c r="D10" s="82"/>
      <c r="E10" s="82"/>
      <c r="F10" s="82"/>
      <c r="G10" s="81"/>
      <c r="H10" s="82">
        <f>B10+SUM(D10:E10)</f>
        <v>2974.2</v>
      </c>
      <c r="I10" s="81"/>
      <c r="J10" s="81"/>
    </row>
    <row r="11" spans="1:13">
      <c r="A11" s="368" t="s">
        <v>168</v>
      </c>
      <c r="B11" s="82">
        <v>835.2</v>
      </c>
      <c r="C11" s="79"/>
      <c r="D11" s="82"/>
      <c r="E11" s="82">
        <v>-4.4000000000000004</v>
      </c>
      <c r="F11" s="82"/>
      <c r="G11" s="81"/>
      <c r="H11" s="82">
        <f>B11+SUM(D11:E11)</f>
        <v>830.80000000000007</v>
      </c>
      <c r="I11" s="81"/>
      <c r="J11" s="81"/>
    </row>
    <row r="12" spans="1:13">
      <c r="A12" s="368" t="s">
        <v>169</v>
      </c>
      <c r="B12" s="80">
        <v>109.1</v>
      </c>
      <c r="C12" s="79"/>
      <c r="D12" s="80">
        <v>-30.4</v>
      </c>
      <c r="E12" s="80"/>
      <c r="F12" s="80"/>
      <c r="G12" s="81"/>
      <c r="H12" s="80">
        <f>B12+SUM(D12:E12)</f>
        <v>78.699999999999989</v>
      </c>
      <c r="I12" s="81"/>
      <c r="J12" s="81"/>
    </row>
    <row r="13" spans="1:13">
      <c r="A13" s="368" t="s">
        <v>6</v>
      </c>
      <c r="B13" s="80">
        <f>SUM(B10:B12)</f>
        <v>3918.4999999999995</v>
      </c>
      <c r="C13" s="79"/>
      <c r="D13" s="80">
        <f>SUM(D10:D12)</f>
        <v>-30.4</v>
      </c>
      <c r="E13" s="80">
        <f>SUM(E10:E12)</f>
        <v>-4.4000000000000004</v>
      </c>
      <c r="F13" s="80">
        <f>SUM(F10:F12)</f>
        <v>0</v>
      </c>
      <c r="G13" s="81"/>
      <c r="H13" s="80">
        <f>SUM(H10:H12)</f>
        <v>3883.7</v>
      </c>
      <c r="I13" s="81"/>
      <c r="J13" s="81"/>
    </row>
    <row r="14" spans="1:13" ht="2.5499999999999998" customHeight="1">
      <c r="A14" s="368"/>
      <c r="B14" s="82"/>
      <c r="C14" s="79"/>
      <c r="D14" s="82"/>
      <c r="E14" s="82"/>
      <c r="F14" s="82"/>
      <c r="G14" s="81"/>
      <c r="H14" s="82"/>
      <c r="I14" s="79"/>
      <c r="J14" s="79"/>
    </row>
    <row r="15" spans="1:13">
      <c r="A15" s="368" t="s">
        <v>7</v>
      </c>
      <c r="B15" s="80">
        <v>1</v>
      </c>
      <c r="C15" s="79"/>
      <c r="D15" s="80"/>
      <c r="E15" s="80"/>
      <c r="F15" s="80"/>
      <c r="G15" s="81"/>
      <c r="H15" s="80">
        <f>B15+SUM(D15:E15)</f>
        <v>1</v>
      </c>
      <c r="I15" s="81"/>
      <c r="J15" s="81"/>
      <c r="L15" s="20"/>
      <c r="M15" s="20"/>
    </row>
    <row r="16" spans="1:13" ht="3" customHeight="1">
      <c r="A16" s="368"/>
      <c r="B16" s="82"/>
      <c r="C16" s="79"/>
      <c r="D16" s="82"/>
      <c r="E16" s="82"/>
      <c r="F16" s="82"/>
      <c r="G16" s="81"/>
      <c r="H16" s="82"/>
      <c r="I16" s="79"/>
      <c r="J16" s="79"/>
    </row>
    <row r="17" spans="1:10">
      <c r="A17" s="368" t="s">
        <v>8</v>
      </c>
      <c r="B17" s="82">
        <f>+B15-B13+B8</f>
        <v>418.70000000000027</v>
      </c>
      <c r="C17" s="79"/>
      <c r="D17" s="82">
        <f>+D15-D13+D8</f>
        <v>30.4</v>
      </c>
      <c r="E17" s="82">
        <f>+E15-E13+E8</f>
        <v>4.4000000000000004</v>
      </c>
      <c r="F17" s="82">
        <f>+F15-F13+F8</f>
        <v>0</v>
      </c>
      <c r="G17" s="81"/>
      <c r="H17" s="82">
        <f>+H15-H13+H8</f>
        <v>453.5</v>
      </c>
      <c r="I17" s="81"/>
      <c r="J17" s="81"/>
    </row>
    <row r="18" spans="1:10" ht="3.75" customHeight="1">
      <c r="A18" s="368"/>
      <c r="B18" s="82"/>
      <c r="C18" s="79"/>
      <c r="D18" s="82"/>
      <c r="E18" s="82"/>
      <c r="F18" s="82"/>
      <c r="G18" s="81"/>
      <c r="H18" s="82"/>
      <c r="I18" s="79"/>
      <c r="J18" s="79"/>
    </row>
    <row r="19" spans="1:10">
      <c r="A19" s="368" t="s">
        <v>170</v>
      </c>
      <c r="B19" s="82">
        <v>52</v>
      </c>
      <c r="C19" s="79"/>
      <c r="D19" s="82"/>
      <c r="E19" s="82"/>
      <c r="F19" s="82"/>
      <c r="G19" s="83"/>
      <c r="H19" s="82">
        <f>B19+SUM(D19:E19)</f>
        <v>52</v>
      </c>
      <c r="I19" s="83"/>
      <c r="J19" s="81"/>
    </row>
    <row r="20" spans="1:10">
      <c r="A20" s="368" t="s">
        <v>10</v>
      </c>
      <c r="B20" s="82">
        <v>0.3</v>
      </c>
      <c r="C20" s="79"/>
      <c r="D20" s="82"/>
      <c r="E20" s="82"/>
      <c r="F20" s="82"/>
      <c r="G20" s="83"/>
      <c r="H20" s="82">
        <f>B20+SUM(D20:E20)</f>
        <v>0.3</v>
      </c>
      <c r="I20" s="83"/>
      <c r="J20" s="81"/>
    </row>
    <row r="21" spans="1:10">
      <c r="A21" s="368" t="s">
        <v>11</v>
      </c>
      <c r="B21" s="82">
        <v>2.9</v>
      </c>
      <c r="C21" s="79"/>
      <c r="D21" s="82"/>
      <c r="E21" s="82"/>
      <c r="F21" s="82"/>
      <c r="G21" s="81"/>
      <c r="H21" s="82">
        <f>B21+SUM(D21:E21)</f>
        <v>2.9</v>
      </c>
      <c r="I21" s="81"/>
      <c r="J21" s="81"/>
    </row>
    <row r="22" spans="1:10">
      <c r="A22" s="368" t="s">
        <v>12</v>
      </c>
      <c r="B22" s="80">
        <v>32.9</v>
      </c>
      <c r="C22" s="79"/>
      <c r="D22" s="80"/>
      <c r="E22" s="80"/>
      <c r="F22" s="80"/>
      <c r="G22" s="81"/>
      <c r="H22" s="80">
        <f>B22+SUM(D22:E22)</f>
        <v>32.9</v>
      </c>
      <c r="I22" s="81"/>
      <c r="J22" s="81"/>
    </row>
    <row r="23" spans="1:10">
      <c r="A23" s="368" t="s">
        <v>171</v>
      </c>
      <c r="B23" s="84">
        <f>+B17+B19+B20+B21-B22</f>
        <v>441.00000000000028</v>
      </c>
      <c r="C23" s="79"/>
      <c r="D23" s="84">
        <f>+D17+D19+D20+D21-D22</f>
        <v>30.4</v>
      </c>
      <c r="E23" s="84">
        <f>+E17+E19+E20+E21-E22</f>
        <v>4.4000000000000004</v>
      </c>
      <c r="F23" s="84">
        <f>SUM(F19:F22,F17)</f>
        <v>0</v>
      </c>
      <c r="G23" s="81"/>
      <c r="H23" s="84">
        <f>+H17+H19+H20+H21-H22</f>
        <v>475.8</v>
      </c>
      <c r="I23" s="81"/>
      <c r="J23" s="81"/>
    </row>
    <row r="24" spans="1:10">
      <c r="A24" s="368" t="s">
        <v>172</v>
      </c>
      <c r="B24" s="82">
        <v>270.3</v>
      </c>
      <c r="C24" s="79"/>
      <c r="D24" s="82"/>
      <c r="E24" s="82"/>
      <c r="F24" s="82">
        <f>-143.4+8.7</f>
        <v>-134.70000000000002</v>
      </c>
      <c r="G24" s="81"/>
      <c r="H24" s="82">
        <f>B24+SUM(D24:F24)</f>
        <v>135.6</v>
      </c>
      <c r="I24" s="81"/>
      <c r="J24" s="81"/>
    </row>
    <row r="25" spans="1:10">
      <c r="A25" s="368" t="s">
        <v>216</v>
      </c>
      <c r="B25" s="86">
        <f>+B47</f>
        <v>0.61613859129245463</v>
      </c>
      <c r="C25" s="79"/>
      <c r="D25" s="87"/>
      <c r="E25" s="87"/>
      <c r="F25" s="87"/>
      <c r="G25" s="81"/>
      <c r="H25" s="86">
        <f>+H47</f>
        <v>0.2863780359028511</v>
      </c>
      <c r="I25" s="81"/>
      <c r="J25" s="81"/>
    </row>
    <row r="26" spans="1:10">
      <c r="A26" s="368" t="s">
        <v>173</v>
      </c>
      <c r="B26" s="82">
        <f>+B23-B24</f>
        <v>170.70000000000027</v>
      </c>
      <c r="C26" s="79"/>
      <c r="D26" s="82">
        <f t="shared" ref="D26:H26" si="0">+D23-D24</f>
        <v>30.4</v>
      </c>
      <c r="E26" s="82">
        <f t="shared" si="0"/>
        <v>4.4000000000000004</v>
      </c>
      <c r="F26" s="82">
        <f t="shared" si="0"/>
        <v>134.70000000000002</v>
      </c>
      <c r="G26" s="81"/>
      <c r="H26" s="82">
        <f t="shared" si="0"/>
        <v>340.20000000000005</v>
      </c>
      <c r="I26" s="81"/>
      <c r="J26" s="81"/>
    </row>
    <row r="27" spans="1:10" ht="28.2">
      <c r="A27" s="139" t="s">
        <v>250</v>
      </c>
      <c r="B27" s="82">
        <v>2.2999999999999998</v>
      </c>
      <c r="C27" s="79"/>
      <c r="D27" s="82"/>
      <c r="E27" s="82"/>
      <c r="F27" s="82"/>
      <c r="G27" s="83"/>
      <c r="H27" s="82">
        <f>B27+SUM(D27:E27)</f>
        <v>2.2999999999999998</v>
      </c>
      <c r="I27" s="83"/>
      <c r="J27" s="81"/>
    </row>
    <row r="28" spans="1:10" s="9" customFormat="1" ht="15" thickBot="1">
      <c r="A28" s="367" t="s">
        <v>174</v>
      </c>
      <c r="B28" s="88">
        <f>+B26-B27</f>
        <v>168.40000000000026</v>
      </c>
      <c r="C28" s="89"/>
      <c r="D28" s="88">
        <f t="shared" ref="D28:F28" si="1">+D26-D27</f>
        <v>30.4</v>
      </c>
      <c r="E28" s="88">
        <f t="shared" si="1"/>
        <v>4.4000000000000004</v>
      </c>
      <c r="F28" s="88">
        <f t="shared" si="1"/>
        <v>134.70000000000002</v>
      </c>
      <c r="G28" s="89"/>
      <c r="H28" s="88">
        <f>+H26-H27</f>
        <v>337.90000000000003</v>
      </c>
      <c r="I28" s="90"/>
      <c r="J28" s="90"/>
    </row>
    <row r="29" spans="1:10" ht="3.75" customHeight="1" thickTop="1">
      <c r="A29" s="368"/>
      <c r="B29" s="82"/>
      <c r="C29" s="79"/>
      <c r="D29" s="82"/>
      <c r="E29" s="82"/>
      <c r="F29" s="82"/>
      <c r="G29" s="79"/>
      <c r="H29" s="82"/>
      <c r="I29" s="79"/>
      <c r="J29" s="79"/>
    </row>
    <row r="30" spans="1:10" ht="15" customHeight="1">
      <c r="A30" s="368" t="s">
        <v>175</v>
      </c>
      <c r="B30" s="82">
        <f>B21</f>
        <v>2.9</v>
      </c>
      <c r="C30" s="79"/>
      <c r="D30" s="82"/>
      <c r="E30" s="82"/>
      <c r="F30" s="82"/>
      <c r="G30" s="79"/>
      <c r="H30" s="82">
        <f>H21</f>
        <v>2.9</v>
      </c>
      <c r="I30" s="79"/>
      <c r="J30" s="79"/>
    </row>
    <row r="31" spans="1:10" ht="15" customHeight="1">
      <c r="A31" s="368" t="s">
        <v>165</v>
      </c>
      <c r="B31" s="82"/>
      <c r="C31" s="79"/>
      <c r="D31" s="82"/>
      <c r="E31" s="82"/>
      <c r="F31" s="82"/>
      <c r="G31" s="79"/>
      <c r="H31" s="82"/>
      <c r="I31" s="79"/>
      <c r="J31" s="79"/>
    </row>
    <row r="32" spans="1:10" ht="15" customHeight="1">
      <c r="A32" s="368" t="s">
        <v>12</v>
      </c>
      <c r="B32" s="82">
        <f>B22</f>
        <v>32.9</v>
      </c>
      <c r="C32" s="79"/>
      <c r="D32" s="82"/>
      <c r="E32" s="82"/>
      <c r="F32" s="82"/>
      <c r="G32" s="79"/>
      <c r="H32" s="82">
        <f t="shared" ref="H32" si="2">B32+SUM(D32:E32)</f>
        <v>32.9</v>
      </c>
      <c r="I32" s="79"/>
      <c r="J32" s="79"/>
    </row>
    <row r="33" spans="1:10" ht="15" customHeight="1">
      <c r="A33" s="368" t="s">
        <v>172</v>
      </c>
      <c r="B33" s="82">
        <f>B24</f>
        <v>270.3</v>
      </c>
      <c r="C33" s="79"/>
      <c r="D33" s="82"/>
      <c r="E33" s="82"/>
      <c r="F33" s="82">
        <f>F24</f>
        <v>-134.70000000000002</v>
      </c>
      <c r="G33" s="79"/>
      <c r="H33" s="82">
        <f>B33+SUM(D33:F33)</f>
        <v>135.6</v>
      </c>
      <c r="I33" s="79"/>
      <c r="J33" s="79"/>
    </row>
    <row r="34" spans="1:10" ht="15" customHeight="1">
      <c r="A34" s="368" t="str">
        <f>+A12</f>
        <v>Depreciation and amortization</v>
      </c>
      <c r="B34" s="80">
        <f>B12</f>
        <v>109.1</v>
      </c>
      <c r="C34" s="77"/>
      <c r="D34" s="80">
        <f>D12</f>
        <v>-30.4</v>
      </c>
      <c r="E34" s="80"/>
      <c r="F34" s="80"/>
      <c r="G34" s="91"/>
      <c r="H34" s="80">
        <f>B34+SUM(D34:E34)</f>
        <v>78.699999999999989</v>
      </c>
      <c r="I34" s="79"/>
      <c r="J34" s="79"/>
    </row>
    <row r="35" spans="1:10" s="9" customFormat="1" ht="15" customHeight="1" thickBot="1">
      <c r="A35" s="367" t="s">
        <v>18</v>
      </c>
      <c r="B35" s="88">
        <f>+B28-B30+B32+B33+B34</f>
        <v>577.8000000000003</v>
      </c>
      <c r="C35" s="89"/>
      <c r="D35" s="88">
        <f>+D28-D30+D32+D33+D34</f>
        <v>0</v>
      </c>
      <c r="E35" s="88">
        <f t="shared" ref="E35:H35" si="3">+E28-E30+E32+E33+E34</f>
        <v>4.4000000000000004</v>
      </c>
      <c r="F35" s="88">
        <f t="shared" si="3"/>
        <v>0</v>
      </c>
      <c r="G35" s="89"/>
      <c r="H35" s="88">
        <f t="shared" si="3"/>
        <v>582.20000000000005</v>
      </c>
      <c r="I35" s="77"/>
      <c r="J35" s="77"/>
    </row>
    <row r="36" spans="1:10" ht="3.75" customHeight="1" thickTop="1">
      <c r="A36" s="368"/>
      <c r="B36" s="82"/>
      <c r="C36" s="79"/>
      <c r="D36" s="82"/>
      <c r="E36" s="82"/>
      <c r="F36" s="82"/>
      <c r="G36" s="81"/>
      <c r="H36" s="82"/>
      <c r="I36" s="79"/>
      <c r="J36" s="81"/>
    </row>
    <row r="37" spans="1:10">
      <c r="A37" s="368" t="s">
        <v>176</v>
      </c>
      <c r="B37" s="82">
        <v>341.7</v>
      </c>
      <c r="C37" s="74"/>
      <c r="D37" s="82"/>
      <c r="E37" s="82"/>
      <c r="F37" s="82"/>
      <c r="G37" s="74"/>
      <c r="H37" s="82">
        <f>+B37</f>
        <v>341.7</v>
      </c>
      <c r="I37" s="81"/>
      <c r="J37" s="81"/>
    </row>
    <row r="38" spans="1:10" ht="15" thickBot="1">
      <c r="A38" s="159" t="s">
        <v>177</v>
      </c>
      <c r="B38" s="92">
        <f>+B28/B37</f>
        <v>0.49282996780801952</v>
      </c>
      <c r="C38" s="93"/>
      <c r="D38" s="92"/>
      <c r="E38" s="92"/>
      <c r="F38" s="92"/>
      <c r="G38" s="93"/>
      <c r="H38" s="92">
        <f>+H28/H37</f>
        <v>0.98887913374304959</v>
      </c>
      <c r="I38" s="74"/>
      <c r="J38" s="74"/>
    </row>
    <row r="39" spans="1:10" ht="14.55" customHeight="1" thickTop="1">
      <c r="A39" s="76"/>
      <c r="B39" s="76"/>
      <c r="C39" s="74"/>
      <c r="D39" s="76"/>
      <c r="E39" s="76"/>
      <c r="F39" s="76"/>
      <c r="G39" s="74"/>
      <c r="H39" s="76"/>
      <c r="I39" s="74"/>
      <c r="J39" s="74"/>
    </row>
    <row r="40" spans="1:10" ht="14.55" customHeight="1">
      <c r="A40" s="491" t="s">
        <v>125</v>
      </c>
      <c r="B40" s="492"/>
      <c r="C40" s="492"/>
      <c r="D40" s="492"/>
      <c r="E40" s="492"/>
      <c r="F40" s="492"/>
      <c r="G40" s="492"/>
      <c r="H40" s="492"/>
      <c r="I40" s="492"/>
      <c r="J40" s="492"/>
    </row>
    <row r="41" spans="1:10" ht="4.95" customHeight="1">
      <c r="A41" s="94"/>
      <c r="B41" s="95"/>
      <c r="C41" s="95"/>
      <c r="D41" s="95"/>
      <c r="E41" s="95"/>
      <c r="F41" s="95"/>
      <c r="G41" s="95"/>
      <c r="H41" s="95"/>
      <c r="I41" s="95"/>
      <c r="J41" s="95"/>
    </row>
    <row r="42" spans="1:10">
      <c r="A42" s="96" t="s">
        <v>120</v>
      </c>
      <c r="B42" s="97"/>
      <c r="C42" s="74"/>
      <c r="D42" s="74"/>
      <c r="E42" s="74"/>
      <c r="F42" s="74"/>
      <c r="G42" s="74"/>
      <c r="H42" s="74"/>
      <c r="I42" s="74"/>
      <c r="J42" s="74"/>
    </row>
    <row r="43" spans="1:10">
      <c r="A43" s="98" t="s">
        <v>122</v>
      </c>
      <c r="B43" s="99">
        <f>B24</f>
        <v>270.3</v>
      </c>
      <c r="C43" s="100"/>
      <c r="D43" s="101"/>
      <c r="E43" s="101"/>
      <c r="F43" s="101"/>
      <c r="G43" s="100"/>
      <c r="H43" s="99">
        <f>H24</f>
        <v>135.6</v>
      </c>
      <c r="I43" s="74"/>
      <c r="J43" s="74"/>
    </row>
    <row r="44" spans="1:10">
      <c r="A44" s="98" t="s">
        <v>121</v>
      </c>
      <c r="B44" s="99">
        <f>+B23</f>
        <v>441.00000000000028</v>
      </c>
      <c r="C44" s="100"/>
      <c r="D44" s="101"/>
      <c r="E44" s="101"/>
      <c r="F44" s="101"/>
      <c r="G44" s="100"/>
      <c r="H44" s="99">
        <f>+H23</f>
        <v>475.8</v>
      </c>
      <c r="I44" s="74"/>
      <c r="J44" s="74"/>
    </row>
    <row r="45" spans="1:10">
      <c r="A45" s="98" t="s">
        <v>96</v>
      </c>
      <c r="B45" s="99">
        <f>+B27</f>
        <v>2.2999999999999998</v>
      </c>
      <c r="C45" s="100"/>
      <c r="D45" s="101"/>
      <c r="E45" s="101"/>
      <c r="F45" s="101"/>
      <c r="G45" s="100"/>
      <c r="H45" s="99">
        <f>+H27</f>
        <v>2.2999999999999998</v>
      </c>
      <c r="I45" s="74"/>
      <c r="J45" s="74"/>
    </row>
    <row r="46" spans="1:10">
      <c r="A46" s="98" t="s">
        <v>123</v>
      </c>
      <c r="B46" s="99">
        <f>+B44-B45</f>
        <v>438.70000000000027</v>
      </c>
      <c r="C46" s="100"/>
      <c r="D46" s="101"/>
      <c r="E46" s="101"/>
      <c r="F46" s="101"/>
      <c r="G46" s="100"/>
      <c r="H46" s="99">
        <f>+H44-H45</f>
        <v>473.5</v>
      </c>
      <c r="I46" s="74"/>
      <c r="J46" s="74"/>
    </row>
    <row r="47" spans="1:10">
      <c r="A47" s="98" t="s">
        <v>124</v>
      </c>
      <c r="B47" s="102">
        <f>+B43/B46</f>
        <v>0.61613859129245463</v>
      </c>
      <c r="C47" s="100"/>
      <c r="D47" s="101"/>
      <c r="E47" s="101"/>
      <c r="F47" s="101"/>
      <c r="G47" s="100"/>
      <c r="H47" s="102">
        <f>+H43/H46</f>
        <v>0.2863780359028511</v>
      </c>
      <c r="I47" s="74"/>
      <c r="J47" s="74"/>
    </row>
    <row r="48" spans="1:10">
      <c r="A48" s="103"/>
      <c r="B48" s="103"/>
      <c r="C48" s="104"/>
      <c r="D48" s="103"/>
      <c r="E48" s="103"/>
      <c r="F48" s="103"/>
      <c r="G48" s="104"/>
      <c r="H48" s="103"/>
      <c r="I48" s="74"/>
      <c r="J48" s="74"/>
    </row>
    <row r="49" spans="1:10">
      <c r="A49" s="105"/>
      <c r="B49" s="76"/>
      <c r="C49" s="104"/>
      <c r="D49" s="103"/>
      <c r="E49" s="103"/>
      <c r="F49" s="74"/>
      <c r="G49" s="74"/>
      <c r="H49" s="74"/>
      <c r="I49" s="74"/>
      <c r="J49" s="74"/>
    </row>
    <row r="50" spans="1:10">
      <c r="A50" s="104"/>
      <c r="B50" s="76"/>
      <c r="C50" s="104"/>
      <c r="D50" s="103"/>
      <c r="E50" s="103"/>
      <c r="F50" s="74"/>
      <c r="G50" s="74"/>
      <c r="H50" s="74"/>
      <c r="I50" s="74"/>
      <c r="J50" s="74"/>
    </row>
    <row r="51" spans="1:10">
      <c r="A51" s="106"/>
      <c r="B51" s="76"/>
      <c r="C51" s="104"/>
      <c r="D51" s="103"/>
      <c r="E51" s="103"/>
      <c r="F51" s="74"/>
      <c r="G51" s="74"/>
      <c r="H51" s="74"/>
      <c r="I51" s="74"/>
      <c r="J51" s="74"/>
    </row>
    <row r="52" spans="1:10">
      <c r="A52" s="106"/>
      <c r="B52" s="76"/>
      <c r="C52" s="104"/>
      <c r="D52" s="103"/>
      <c r="E52" s="103"/>
      <c r="F52" s="74"/>
      <c r="G52" s="74"/>
      <c r="H52" s="74"/>
      <c r="I52" s="74"/>
      <c r="J52" s="74"/>
    </row>
    <row r="53" spans="1:10">
      <c r="A53" s="106"/>
      <c r="B53" s="76"/>
      <c r="C53" s="104"/>
      <c r="D53" s="103"/>
      <c r="E53" s="103"/>
      <c r="F53" s="74"/>
      <c r="G53" s="74"/>
      <c r="H53" s="74"/>
      <c r="I53" s="74"/>
      <c r="J53" s="74"/>
    </row>
    <row r="54" spans="1:10">
      <c r="A54" s="106"/>
      <c r="B54" s="76"/>
      <c r="C54" s="104"/>
      <c r="D54" s="103"/>
      <c r="E54" s="103"/>
      <c r="F54" s="74"/>
      <c r="G54" s="74"/>
      <c r="H54" s="74"/>
      <c r="I54" s="74"/>
      <c r="J54" s="74"/>
    </row>
    <row r="55" spans="1:10">
      <c r="A55" s="69"/>
      <c r="C55" s="40"/>
      <c r="D55" s="39"/>
      <c r="E55" s="39"/>
      <c r="F55" s="13"/>
      <c r="H55" s="13"/>
    </row>
    <row r="56" spans="1:10">
      <c r="A56" s="69"/>
      <c r="C56" s="40"/>
      <c r="D56" s="39"/>
      <c r="E56" s="39"/>
      <c r="F56" s="13"/>
      <c r="H56" s="13"/>
    </row>
    <row r="57" spans="1:10">
      <c r="A57" s="69"/>
      <c r="F57" s="13"/>
      <c r="H57" s="13"/>
    </row>
    <row r="58" spans="1:10">
      <c r="A58" s="69"/>
      <c r="F58" s="13"/>
      <c r="H58" s="13"/>
    </row>
    <row r="59" spans="1:10">
      <c r="A59" s="69"/>
      <c r="F59" s="13"/>
      <c r="H59" s="13"/>
    </row>
    <row r="60" spans="1:10">
      <c r="A60" s="69"/>
      <c r="F60" s="13"/>
      <c r="H60" s="13"/>
    </row>
    <row r="61" spans="1:10">
      <c r="A61" s="69"/>
      <c r="F61" s="13"/>
      <c r="H61" s="13"/>
    </row>
    <row r="62" spans="1:10">
      <c r="A62" s="69"/>
      <c r="F62" s="13"/>
      <c r="H62" s="13"/>
    </row>
    <row r="63" spans="1:10">
      <c r="A63" s="69"/>
      <c r="F63" s="13"/>
      <c r="H63" s="13"/>
    </row>
    <row r="64" spans="1:10">
      <c r="A64" s="69"/>
      <c r="F64" s="13"/>
      <c r="H64" s="13"/>
    </row>
    <row r="65" spans="1:7">
      <c r="A65" s="69"/>
      <c r="F65" s="27" t="s">
        <v>97</v>
      </c>
      <c r="G65" s="70"/>
    </row>
    <row r="66" spans="1:7">
      <c r="A66" s="69"/>
      <c r="B66" s="13"/>
    </row>
    <row r="67" spans="1:7">
      <c r="A67" s="13"/>
      <c r="B67" s="13"/>
    </row>
    <row r="1048574" spans="8:8">
      <c r="H1048574" s="4"/>
    </row>
  </sheetData>
  <mergeCells count="4">
    <mergeCell ref="D4:F4"/>
    <mergeCell ref="A40:J40"/>
    <mergeCell ref="D2:F2"/>
    <mergeCell ref="D3:F3"/>
  </mergeCells>
  <printOptions horizontalCentered="1"/>
  <pageMargins left="0.45" right="0.45" top="0.75" bottom="0.5" header="0.3" footer="0.3"/>
  <pageSetup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47"/>
  <sheetViews>
    <sheetView showGridLines="0" zoomScaleNormal="100" workbookViewId="0">
      <pane ySplit="7" topLeftCell="A10" activePane="bottomLeft" state="frozen"/>
      <selection activeCell="T52" sqref="T52"/>
      <selection pane="bottomLeft" activeCell="C32" sqref="C32:M32"/>
    </sheetView>
  </sheetViews>
  <sheetFormatPr defaultColWidth="11.6640625" defaultRowHeight="13.2" outlineLevelRow="1"/>
  <cols>
    <col min="1" max="1" width="44.109375" style="42" bestFit="1" customWidth="1"/>
    <col min="2" max="2" width="1.6640625" style="41" customWidth="1"/>
    <col min="3" max="3" width="11.6640625" style="41" customWidth="1"/>
    <col min="4" max="4" width="1.6640625" style="41" customWidth="1"/>
    <col min="5" max="5" width="11.6640625" style="41" customWidth="1"/>
    <col min="6" max="6" width="1.6640625" style="41" customWidth="1"/>
    <col min="7" max="7" width="11.6640625" style="41" customWidth="1"/>
    <col min="8" max="8" width="1.6640625" style="41" customWidth="1"/>
    <col min="9" max="9" width="14.6640625" style="41" bestFit="1" customWidth="1"/>
    <col min="10" max="10" width="1.6640625" style="41" customWidth="1"/>
    <col min="11" max="11" width="11.6640625" style="41" customWidth="1"/>
    <col min="12" max="12" width="1.6640625" style="41" customWidth="1"/>
    <col min="13" max="13" width="15.109375" style="41" bestFit="1" customWidth="1"/>
    <col min="14" max="14" width="1.6640625" style="41" customWidth="1"/>
    <col min="15" max="15" width="11.6640625" style="41"/>
    <col min="16" max="16" width="1.6640625" style="41" customWidth="1"/>
    <col min="17" max="16384" width="11.6640625" style="41"/>
  </cols>
  <sheetData>
    <row r="1" spans="1:13" s="46" customFormat="1" ht="10.199999999999999" hidden="1" outlineLevel="1">
      <c r="A1" s="112">
        <f t="shared" ref="A1:M1" ca="1" si="0">CELL("Width",A1)</f>
        <v>43</v>
      </c>
      <c r="B1" s="113">
        <f t="shared" ca="1" si="0"/>
        <v>1</v>
      </c>
      <c r="C1" s="112">
        <f t="shared" ca="1" si="0"/>
        <v>11</v>
      </c>
      <c r="D1" s="112">
        <f t="shared" ca="1" si="0"/>
        <v>1</v>
      </c>
      <c r="E1" s="112">
        <f t="shared" ca="1" si="0"/>
        <v>11</v>
      </c>
      <c r="F1" s="112">
        <f t="shared" ca="1" si="0"/>
        <v>1</v>
      </c>
      <c r="G1" s="112">
        <f t="shared" ca="1" si="0"/>
        <v>11</v>
      </c>
      <c r="H1" s="112">
        <f t="shared" ca="1" si="0"/>
        <v>1</v>
      </c>
      <c r="I1" s="112">
        <f t="shared" ca="1" si="0"/>
        <v>14</v>
      </c>
      <c r="J1" s="113">
        <f t="shared" ca="1" si="0"/>
        <v>1</v>
      </c>
      <c r="K1" s="112">
        <f t="shared" ca="1" si="0"/>
        <v>11</v>
      </c>
      <c r="L1" s="112">
        <f t="shared" ca="1" si="0"/>
        <v>1</v>
      </c>
      <c r="M1" s="112">
        <f t="shared" ca="1" si="0"/>
        <v>14</v>
      </c>
    </row>
    <row r="2" spans="1:13" s="46" customFormat="1" ht="10.199999999999999" hidden="1" outlineLevel="1">
      <c r="A2" s="114"/>
      <c r="B2" s="114"/>
      <c r="C2" s="114"/>
      <c r="D2" s="114"/>
      <c r="E2" s="114"/>
      <c r="F2" s="114"/>
      <c r="G2" s="114"/>
      <c r="H2" s="114"/>
      <c r="I2" s="112"/>
      <c r="J2" s="114"/>
      <c r="K2" s="114"/>
      <c r="L2" s="114"/>
      <c r="M2" s="112">
        <f ca="1">SUM(A1:M1)</f>
        <v>121</v>
      </c>
    </row>
    <row r="3" spans="1:13" s="46" customFormat="1" ht="10.199999999999999" hidden="1" outlineLevel="1">
      <c r="A3" s="114"/>
      <c r="B3" s="115"/>
      <c r="C3" s="115"/>
      <c r="D3" s="115"/>
      <c r="E3" s="115"/>
      <c r="F3" s="115"/>
      <c r="G3" s="115"/>
      <c r="H3" s="115"/>
      <c r="I3" s="116"/>
      <c r="J3" s="115"/>
      <c r="K3" s="115"/>
      <c r="L3" s="115"/>
      <c r="M3" s="115"/>
    </row>
    <row r="4" spans="1:13" s="47" customFormat="1" ht="10.199999999999999" hidden="1" outlineLevel="1">
      <c r="A4" s="117"/>
      <c r="B4" s="118"/>
      <c r="C4" s="119"/>
      <c r="D4" s="119"/>
      <c r="E4" s="119"/>
      <c r="F4" s="119"/>
      <c r="G4" s="119"/>
      <c r="H4" s="119"/>
      <c r="I4" s="119" t="s">
        <v>159</v>
      </c>
      <c r="J4" s="119"/>
      <c r="K4" s="119"/>
      <c r="L4" s="119"/>
      <c r="M4" s="119"/>
    </row>
    <row r="5" spans="1:13" s="47" customFormat="1" ht="10.199999999999999" hidden="1" outlineLevel="1">
      <c r="A5" s="117"/>
      <c r="B5" s="118"/>
      <c r="C5" s="119"/>
      <c r="D5" s="119"/>
      <c r="E5" s="119"/>
      <c r="F5" s="119"/>
      <c r="G5" s="119"/>
      <c r="H5" s="119"/>
      <c r="I5" s="119" t="s">
        <v>158</v>
      </c>
      <c r="J5" s="119"/>
      <c r="K5" s="119" t="s">
        <v>157</v>
      </c>
      <c r="L5" s="119"/>
      <c r="M5" s="119"/>
    </row>
    <row r="6" spans="1:13" s="46" customFormat="1" ht="14.1" hidden="1" customHeight="1" outlineLevel="1">
      <c r="A6" s="114"/>
      <c r="B6" s="115"/>
      <c r="C6" s="120" t="s">
        <v>19</v>
      </c>
      <c r="D6" s="115"/>
      <c r="E6" s="120" t="s">
        <v>20</v>
      </c>
      <c r="F6" s="115"/>
      <c r="G6" s="120" t="s">
        <v>22</v>
      </c>
      <c r="H6" s="115"/>
      <c r="I6" s="120" t="s">
        <v>156</v>
      </c>
      <c r="J6" s="115"/>
      <c r="K6" s="120" t="s">
        <v>155</v>
      </c>
      <c r="L6" s="115"/>
      <c r="M6" s="120" t="s">
        <v>23</v>
      </c>
    </row>
    <row r="7" spans="1:13" s="46" customFormat="1" ht="10.199999999999999" hidden="1" outlineLevel="1">
      <c r="A7" s="114"/>
      <c r="B7" s="115"/>
      <c r="C7" s="115"/>
      <c r="D7" s="115"/>
      <c r="E7" s="115"/>
      <c r="F7" s="115"/>
      <c r="G7" s="115"/>
      <c r="H7" s="115"/>
      <c r="I7" s="116"/>
      <c r="J7" s="115"/>
      <c r="K7" s="115"/>
      <c r="L7" s="115"/>
      <c r="M7" s="115"/>
    </row>
    <row r="8" spans="1:13" hidden="1" outlineLevel="1">
      <c r="A8" s="121" t="s">
        <v>162</v>
      </c>
      <c r="B8" s="122"/>
      <c r="C8" s="122" t="s">
        <v>161</v>
      </c>
      <c r="D8" s="122"/>
      <c r="E8" s="122"/>
      <c r="F8" s="122"/>
      <c r="G8" s="122"/>
      <c r="H8" s="122"/>
      <c r="I8" s="123"/>
      <c r="J8" s="122"/>
      <c r="K8" s="122"/>
      <c r="L8" s="122"/>
      <c r="M8" s="122"/>
    </row>
    <row r="9" spans="1:13" s="240" customFormat="1" ht="13.8" outlineLevel="1">
      <c r="A9" s="372" t="s">
        <v>220</v>
      </c>
      <c r="B9" s="241"/>
      <c r="C9" s="241"/>
      <c r="D9" s="241"/>
      <c r="E9" s="241"/>
      <c r="F9" s="241"/>
      <c r="G9" s="241"/>
      <c r="H9" s="241"/>
      <c r="I9" s="242"/>
      <c r="J9" s="241"/>
      <c r="K9" s="241"/>
      <c r="L9" s="241"/>
      <c r="M9" s="241"/>
    </row>
    <row r="10" spans="1:13" ht="13.8">
      <c r="A10" s="151" t="s">
        <v>207</v>
      </c>
      <c r="B10" s="124"/>
      <c r="C10" s="124"/>
      <c r="D10" s="124"/>
      <c r="E10" s="124"/>
      <c r="F10" s="124"/>
      <c r="G10" s="124"/>
      <c r="H10" s="124"/>
      <c r="I10" s="125"/>
      <c r="J10" s="124"/>
      <c r="K10" s="124"/>
      <c r="L10" s="124"/>
      <c r="M10" s="124"/>
    </row>
    <row r="11" spans="1:13" s="46" customFormat="1" ht="14.1" customHeight="1">
      <c r="A11" s="126"/>
      <c r="B11" s="127"/>
      <c r="C11" s="494" t="s">
        <v>255</v>
      </c>
      <c r="D11" s="494"/>
      <c r="E11" s="494"/>
      <c r="F11" s="494"/>
      <c r="G11" s="494"/>
      <c r="H11" s="494"/>
      <c r="I11" s="494"/>
      <c r="J11" s="494"/>
      <c r="K11" s="494"/>
      <c r="L11" s="494"/>
      <c r="M11" s="494"/>
    </row>
    <row r="12" spans="1:13" s="47" customFormat="1" ht="15.6" customHeight="1">
      <c r="A12" s="128"/>
      <c r="B12" s="129"/>
      <c r="C12" s="239"/>
      <c r="D12" s="239"/>
      <c r="E12" s="239"/>
      <c r="F12" s="239"/>
      <c r="G12" s="239"/>
      <c r="H12" s="239"/>
      <c r="I12" s="108" t="s">
        <v>159</v>
      </c>
      <c r="J12" s="108"/>
      <c r="K12" s="108"/>
      <c r="L12" s="239"/>
      <c r="M12" s="239"/>
    </row>
    <row r="13" spans="1:13" s="47" customFormat="1" ht="11.25" customHeight="1">
      <c r="A13" s="128"/>
      <c r="B13" s="129"/>
      <c r="C13" s="239"/>
      <c r="D13" s="239"/>
      <c r="E13" s="239"/>
      <c r="F13" s="239"/>
      <c r="G13" s="239"/>
      <c r="H13" s="239"/>
      <c r="I13" s="108" t="s">
        <v>158</v>
      </c>
      <c r="J13" s="108"/>
      <c r="K13" s="108" t="s">
        <v>157</v>
      </c>
      <c r="L13" s="239"/>
      <c r="M13" s="239"/>
    </row>
    <row r="14" spans="1:13" s="46" customFormat="1" ht="11.25" customHeight="1">
      <c r="A14" s="126"/>
      <c r="B14" s="127"/>
      <c r="C14" s="237" t="s">
        <v>19</v>
      </c>
      <c r="D14" s="238"/>
      <c r="E14" s="237" t="s">
        <v>20</v>
      </c>
      <c r="F14" s="238"/>
      <c r="G14" s="237" t="s">
        <v>22</v>
      </c>
      <c r="H14" s="238"/>
      <c r="I14" s="237" t="s">
        <v>156</v>
      </c>
      <c r="J14" s="238"/>
      <c r="K14" s="237" t="s">
        <v>155</v>
      </c>
      <c r="L14" s="238"/>
      <c r="M14" s="237" t="s">
        <v>23</v>
      </c>
    </row>
    <row r="15" spans="1:13" ht="13.8">
      <c r="A15" s="130" t="s">
        <v>154</v>
      </c>
      <c r="B15" s="221"/>
      <c r="C15" s="221"/>
      <c r="D15" s="221"/>
      <c r="E15" s="221"/>
      <c r="F15" s="221"/>
      <c r="G15" s="221"/>
      <c r="H15" s="221"/>
      <c r="I15" s="221"/>
      <c r="J15" s="221"/>
      <c r="K15" s="221"/>
      <c r="L15" s="221"/>
      <c r="M15" s="221"/>
    </row>
    <row r="16" spans="1:13" ht="12.75" customHeight="1">
      <c r="A16" s="230" t="s">
        <v>132</v>
      </c>
      <c r="B16" s="227"/>
      <c r="C16" s="231">
        <v>1689</v>
      </c>
      <c r="D16" s="221"/>
      <c r="E16" s="231">
        <v>780.7</v>
      </c>
      <c r="F16" s="227"/>
      <c r="G16" s="231">
        <v>349.4</v>
      </c>
      <c r="H16" s="232"/>
      <c r="I16" s="231">
        <v>103.2</v>
      </c>
      <c r="J16" s="233"/>
      <c r="K16" s="231">
        <v>32.299999999999997</v>
      </c>
      <c r="L16" s="232"/>
      <c r="M16" s="231">
        <f>SUM(C16:K16)</f>
        <v>2954.6</v>
      </c>
    </row>
    <row r="17" spans="1:13" ht="30.6" customHeight="1">
      <c r="A17" s="133" t="s">
        <v>153</v>
      </c>
      <c r="B17" s="132"/>
      <c r="C17" s="134">
        <v>652.29999999999995</v>
      </c>
      <c r="D17" s="134"/>
      <c r="E17" s="134">
        <v>552.1</v>
      </c>
      <c r="F17" s="135"/>
      <c r="G17" s="134">
        <v>177.2</v>
      </c>
      <c r="H17" s="134"/>
      <c r="I17" s="134">
        <v>0</v>
      </c>
      <c r="J17" s="135"/>
      <c r="K17" s="134">
        <v>0</v>
      </c>
      <c r="L17" s="134"/>
      <c r="M17" s="134">
        <f>SUM(C17:K17)</f>
        <v>1381.6000000000001</v>
      </c>
    </row>
    <row r="18" spans="1:13" ht="13.8">
      <c r="A18" s="235" t="s">
        <v>152</v>
      </c>
      <c r="B18" s="227"/>
      <c r="C18" s="236">
        <f>SUM(C16:C17)</f>
        <v>2341.3000000000002</v>
      </c>
      <c r="D18" s="229"/>
      <c r="E18" s="236">
        <f>SUM(E16:E17)</f>
        <v>1332.8000000000002</v>
      </c>
      <c r="F18" s="234"/>
      <c r="G18" s="236">
        <f>SUM(G16:G17)</f>
        <v>526.59999999999991</v>
      </c>
      <c r="H18" s="229"/>
      <c r="I18" s="236">
        <f>SUM(I16:I17)</f>
        <v>103.2</v>
      </c>
      <c r="J18" s="234"/>
      <c r="K18" s="236">
        <f>SUM(K16:K17)</f>
        <v>32.299999999999997</v>
      </c>
      <c r="L18" s="229"/>
      <c r="M18" s="236">
        <f>SUM(M16:M17)</f>
        <v>4336.2</v>
      </c>
    </row>
    <row r="19" spans="1:13" ht="3.9" customHeight="1">
      <c r="A19" s="130"/>
      <c r="B19" s="127"/>
      <c r="C19" s="127"/>
      <c r="D19" s="127"/>
      <c r="E19" s="127"/>
      <c r="F19" s="127"/>
      <c r="G19" s="127"/>
      <c r="H19" s="127"/>
      <c r="I19" s="127"/>
      <c r="J19" s="127"/>
      <c r="K19" s="127"/>
      <c r="L19" s="127"/>
      <c r="M19" s="127"/>
    </row>
    <row r="20" spans="1:13" ht="13.8">
      <c r="A20" s="130" t="s">
        <v>151</v>
      </c>
      <c r="B20" s="127"/>
      <c r="C20" s="127"/>
      <c r="D20" s="127"/>
      <c r="E20" s="127"/>
      <c r="F20" s="127"/>
      <c r="G20" s="127"/>
      <c r="H20" s="127"/>
      <c r="I20" s="127"/>
      <c r="J20" s="127"/>
      <c r="K20" s="127"/>
      <c r="L20" s="127"/>
      <c r="M20" s="127"/>
    </row>
    <row r="21" spans="1:13" ht="12.75" customHeight="1">
      <c r="A21" s="131" t="s">
        <v>150</v>
      </c>
      <c r="B21" s="132"/>
      <c r="C21" s="134">
        <v>1628.7</v>
      </c>
      <c r="D21" s="134"/>
      <c r="E21" s="134">
        <v>978</v>
      </c>
      <c r="F21" s="135"/>
      <c r="G21" s="134">
        <v>367.5</v>
      </c>
      <c r="H21" s="134"/>
      <c r="I21" s="134">
        <v>0</v>
      </c>
      <c r="J21" s="135"/>
      <c r="K21" s="134">
        <v>0</v>
      </c>
      <c r="L21" s="134"/>
      <c r="M21" s="134">
        <f>SUM(C21:K21)</f>
        <v>2974.2</v>
      </c>
    </row>
    <row r="22" spans="1:13" ht="28.2" customHeight="1">
      <c r="A22" s="133" t="s">
        <v>149</v>
      </c>
      <c r="B22" s="132"/>
      <c r="C22" s="134">
        <v>392</v>
      </c>
      <c r="D22" s="134"/>
      <c r="E22" s="134">
        <v>222.8</v>
      </c>
      <c r="F22" s="135"/>
      <c r="G22" s="134">
        <v>90</v>
      </c>
      <c r="H22" s="134"/>
      <c r="I22" s="134">
        <v>86.7</v>
      </c>
      <c r="J22" s="135"/>
      <c r="K22" s="134">
        <v>43.7</v>
      </c>
      <c r="L22" s="134"/>
      <c r="M22" s="134">
        <f>SUM(C22:K22)</f>
        <v>835.2</v>
      </c>
    </row>
    <row r="23" spans="1:13" ht="12.75" customHeight="1">
      <c r="A23" s="131" t="s">
        <v>148</v>
      </c>
      <c r="B23" s="132"/>
      <c r="C23" s="134">
        <v>75.3</v>
      </c>
      <c r="D23" s="134"/>
      <c r="E23" s="134">
        <v>20.399999999999999</v>
      </c>
      <c r="F23" s="135"/>
      <c r="G23" s="134">
        <v>4.9000000000000004</v>
      </c>
      <c r="H23" s="134"/>
      <c r="I23" s="134">
        <v>8.1</v>
      </c>
      <c r="J23" s="135"/>
      <c r="K23" s="134">
        <v>0.4</v>
      </c>
      <c r="L23" s="134"/>
      <c r="M23" s="134">
        <f>SUM(C23:K23)</f>
        <v>109.1</v>
      </c>
    </row>
    <row r="24" spans="1:13" ht="13.8">
      <c r="A24" s="136" t="s">
        <v>6</v>
      </c>
      <c r="B24" s="132"/>
      <c r="C24" s="137">
        <f>SUM(C21:C23)</f>
        <v>2096</v>
      </c>
      <c r="D24" s="134"/>
      <c r="E24" s="137">
        <f>SUM(E21:E23)</f>
        <v>1221.2</v>
      </c>
      <c r="F24" s="135"/>
      <c r="G24" s="137">
        <f>SUM(G21:G23)</f>
        <v>462.4</v>
      </c>
      <c r="H24" s="134"/>
      <c r="I24" s="137">
        <f>SUM(I21:I23)</f>
        <v>94.8</v>
      </c>
      <c r="J24" s="135"/>
      <c r="K24" s="137">
        <f>SUM(K21:K23)</f>
        <v>44.1</v>
      </c>
      <c r="L24" s="134"/>
      <c r="M24" s="137">
        <f>SUM(M21:M23)</f>
        <v>3918.4999999999995</v>
      </c>
    </row>
    <row r="25" spans="1:13" ht="3.9" customHeight="1">
      <c r="A25" s="126"/>
      <c r="B25" s="127"/>
      <c r="C25" s="127"/>
      <c r="D25" s="127"/>
      <c r="E25" s="127"/>
      <c r="F25" s="127"/>
      <c r="G25" s="127"/>
      <c r="H25" s="127"/>
      <c r="I25" s="127"/>
      <c r="J25" s="127"/>
      <c r="K25" s="127"/>
      <c r="L25" s="127"/>
      <c r="M25" s="127"/>
    </row>
    <row r="26" spans="1:13" ht="12.75" customHeight="1">
      <c r="A26" s="126" t="s">
        <v>7</v>
      </c>
      <c r="B26" s="127"/>
      <c r="C26" s="138">
        <v>0</v>
      </c>
      <c r="D26" s="134"/>
      <c r="E26" s="138">
        <v>0</v>
      </c>
      <c r="F26" s="134"/>
      <c r="G26" s="138">
        <v>0</v>
      </c>
      <c r="H26" s="134"/>
      <c r="I26" s="138">
        <v>0</v>
      </c>
      <c r="J26" s="134"/>
      <c r="K26" s="138">
        <v>1</v>
      </c>
      <c r="L26" s="134"/>
      <c r="M26" s="138">
        <f>SUM(C26:K26)</f>
        <v>1</v>
      </c>
    </row>
    <row r="27" spans="1:13" ht="2.5499999999999998" customHeight="1">
      <c r="A27" s="126"/>
      <c r="B27" s="127"/>
      <c r="C27" s="134"/>
      <c r="D27" s="134"/>
      <c r="E27" s="134"/>
      <c r="F27" s="134"/>
      <c r="G27" s="134"/>
      <c r="H27" s="134"/>
      <c r="I27" s="134"/>
      <c r="J27" s="134"/>
      <c r="K27" s="134"/>
      <c r="L27" s="134"/>
      <c r="M27" s="134"/>
    </row>
    <row r="28" spans="1:13" ht="13.8">
      <c r="A28" s="126" t="s">
        <v>147</v>
      </c>
      <c r="B28" s="127"/>
      <c r="C28" s="134">
        <f>+C18-C24+C26</f>
        <v>245.30000000000018</v>
      </c>
      <c r="D28" s="134"/>
      <c r="E28" s="134">
        <f>+E18-E24+E26</f>
        <v>111.60000000000014</v>
      </c>
      <c r="F28" s="134"/>
      <c r="G28" s="134">
        <f>+G18-G24+G26</f>
        <v>64.199999999999932</v>
      </c>
      <c r="H28" s="134"/>
      <c r="I28" s="134">
        <f>+I18-I24+I26</f>
        <v>8.4000000000000057</v>
      </c>
      <c r="J28" s="134"/>
      <c r="K28" s="134">
        <f>+K18-K24+K26</f>
        <v>-10.800000000000004</v>
      </c>
      <c r="L28" s="134"/>
      <c r="M28" s="134">
        <f>+M18-M24+M26</f>
        <v>418.70000000000027</v>
      </c>
    </row>
    <row r="29" spans="1:13" ht="3.45" customHeight="1">
      <c r="A29" s="126"/>
      <c r="B29" s="127"/>
      <c r="C29" s="127"/>
      <c r="D29" s="127"/>
      <c r="E29" s="127"/>
      <c r="F29" s="127"/>
      <c r="G29" s="127"/>
      <c r="H29" s="127"/>
      <c r="I29" s="127"/>
      <c r="J29" s="127"/>
      <c r="K29" s="127"/>
      <c r="L29" s="127"/>
      <c r="M29" s="127"/>
    </row>
    <row r="30" spans="1:13" ht="13.8">
      <c r="A30" s="139" t="s">
        <v>170</v>
      </c>
      <c r="B30" s="132"/>
      <c r="C30" s="134">
        <v>5.7</v>
      </c>
      <c r="D30" s="134"/>
      <c r="E30" s="134">
        <v>0.3</v>
      </c>
      <c r="F30" s="135"/>
      <c r="G30" s="134">
        <v>0.3</v>
      </c>
      <c r="H30" s="134"/>
      <c r="I30" s="134">
        <v>0.7</v>
      </c>
      <c r="J30" s="135"/>
      <c r="K30" s="134">
        <v>45</v>
      </c>
      <c r="L30" s="134"/>
      <c r="M30" s="134">
        <f>SUM(C30:K30)</f>
        <v>52</v>
      </c>
    </row>
    <row r="31" spans="1:13" ht="13.95" customHeight="1">
      <c r="A31" s="126" t="s">
        <v>257</v>
      </c>
      <c r="B31" s="127"/>
      <c r="C31" s="134">
        <v>-1.5</v>
      </c>
      <c r="D31" s="134"/>
      <c r="E31" s="134">
        <v>0</v>
      </c>
      <c r="F31" s="134"/>
      <c r="G31" s="134">
        <v>0</v>
      </c>
      <c r="H31" s="134"/>
      <c r="I31" s="134">
        <v>1.8</v>
      </c>
      <c r="J31" s="134"/>
      <c r="K31" s="134">
        <v>0</v>
      </c>
      <c r="L31" s="134"/>
      <c r="M31" s="134">
        <f>SUM(C31:K31)</f>
        <v>0.30000000000000004</v>
      </c>
    </row>
    <row r="32" spans="1:13" ht="28.2" customHeight="1">
      <c r="A32" s="139" t="s">
        <v>250</v>
      </c>
      <c r="B32" s="140"/>
      <c r="C32" s="134">
        <v>0</v>
      </c>
      <c r="D32" s="134"/>
      <c r="E32" s="134">
        <v>0.2</v>
      </c>
      <c r="F32" s="134"/>
      <c r="G32" s="134">
        <v>0</v>
      </c>
      <c r="H32" s="134"/>
      <c r="I32" s="134">
        <v>2</v>
      </c>
      <c r="J32" s="134"/>
      <c r="K32" s="134">
        <v>0.1</v>
      </c>
      <c r="L32" s="134"/>
      <c r="M32" s="134">
        <f>SUM(C32:K32)</f>
        <v>2.3000000000000003</v>
      </c>
    </row>
    <row r="33" spans="1:13" ht="13.8">
      <c r="A33" s="142" t="s">
        <v>178</v>
      </c>
      <c r="B33" s="140"/>
      <c r="C33" s="141">
        <f>+C23</f>
        <v>75.3</v>
      </c>
      <c r="D33" s="141"/>
      <c r="E33" s="141">
        <f>+E23</f>
        <v>20.399999999999999</v>
      </c>
      <c r="F33" s="141"/>
      <c r="G33" s="141">
        <f>+G23</f>
        <v>4.9000000000000004</v>
      </c>
      <c r="H33" s="141"/>
      <c r="I33" s="141">
        <f>+I23</f>
        <v>8.1</v>
      </c>
      <c r="J33" s="141"/>
      <c r="K33" s="141">
        <f>+K23</f>
        <v>0.4</v>
      </c>
      <c r="L33" s="141"/>
      <c r="M33" s="141">
        <f>SUM(C33:K33)</f>
        <v>109.1</v>
      </c>
    </row>
    <row r="34" spans="1:13" ht="3.45" customHeight="1">
      <c r="A34" s="143"/>
      <c r="B34" s="127"/>
      <c r="C34" s="144"/>
      <c r="D34" s="145"/>
      <c r="E34" s="144"/>
      <c r="F34" s="145"/>
      <c r="G34" s="144"/>
      <c r="H34" s="145"/>
      <c r="I34" s="144"/>
      <c r="J34" s="145"/>
      <c r="K34" s="144"/>
      <c r="L34" s="145"/>
      <c r="M34" s="144"/>
    </row>
    <row r="35" spans="1:13" ht="12.75" customHeight="1">
      <c r="A35" s="226" t="s">
        <v>18</v>
      </c>
      <c r="B35" s="227"/>
      <c r="C35" s="228">
        <f>C28+C30+C31-C32+C33</f>
        <v>324.80000000000018</v>
      </c>
      <c r="D35" s="229"/>
      <c r="E35" s="228">
        <f>E28+E30+E31-E32+E33</f>
        <v>132.10000000000014</v>
      </c>
      <c r="F35" s="228"/>
      <c r="G35" s="228">
        <f>G28+G30+G31-G32+G33</f>
        <v>69.399999999999935</v>
      </c>
      <c r="H35" s="228"/>
      <c r="I35" s="228">
        <f>I28+I30+I31-I32+I33</f>
        <v>17.000000000000007</v>
      </c>
      <c r="J35" s="228"/>
      <c r="K35" s="228">
        <f>K28+K30+K31-K32+K33</f>
        <v>34.499999999999993</v>
      </c>
      <c r="L35" s="228"/>
      <c r="M35" s="228">
        <f>M28+M30+M31-M32+M33</f>
        <v>577.8000000000003</v>
      </c>
    </row>
    <row r="36" spans="1:13" ht="3.9" customHeight="1">
      <c r="A36" s="139"/>
      <c r="B36" s="132"/>
      <c r="C36" s="129"/>
      <c r="D36" s="127"/>
      <c r="E36" s="129"/>
      <c r="F36" s="129"/>
      <c r="G36" s="129"/>
      <c r="H36" s="129"/>
      <c r="I36" s="129"/>
      <c r="J36" s="129"/>
      <c r="K36" s="129"/>
      <c r="L36" s="129"/>
      <c r="M36" s="129"/>
    </row>
    <row r="37" spans="1:13" ht="13.8">
      <c r="A37" s="130" t="s">
        <v>146</v>
      </c>
      <c r="B37" s="132"/>
      <c r="C37" s="127"/>
      <c r="D37" s="127"/>
      <c r="E37" s="127"/>
      <c r="F37" s="132"/>
      <c r="G37" s="127"/>
      <c r="H37" s="127"/>
      <c r="I37" s="127"/>
      <c r="J37" s="132"/>
      <c r="K37" s="127"/>
      <c r="L37" s="127"/>
      <c r="M37" s="127"/>
    </row>
    <row r="38" spans="1:13" ht="41.4">
      <c r="A38" s="146" t="s">
        <v>179</v>
      </c>
      <c r="B38" s="147"/>
      <c r="C38" s="141">
        <v>0</v>
      </c>
      <c r="D38" s="141"/>
      <c r="E38" s="148">
        <v>0</v>
      </c>
      <c r="F38" s="149"/>
      <c r="G38" s="148">
        <v>0</v>
      </c>
      <c r="H38" s="141"/>
      <c r="I38" s="141">
        <v>4.4000000000000004</v>
      </c>
      <c r="J38" s="149"/>
      <c r="K38" s="141">
        <v>0</v>
      </c>
      <c r="L38" s="141"/>
      <c r="M38" s="141">
        <f>SUM(C38:K38)</f>
        <v>4.4000000000000004</v>
      </c>
    </row>
    <row r="39" spans="1:13" ht="4.3499999999999996" customHeight="1">
      <c r="A39" s="133"/>
      <c r="B39" s="132"/>
      <c r="C39" s="144"/>
      <c r="D39" s="145"/>
      <c r="E39" s="144"/>
      <c r="F39" s="150"/>
      <c r="G39" s="144"/>
      <c r="H39" s="145"/>
      <c r="I39" s="144"/>
      <c r="J39" s="150"/>
      <c r="K39" s="144"/>
      <c r="L39" s="145"/>
      <c r="M39" s="144"/>
    </row>
    <row r="40" spans="1:13" ht="13.5" customHeight="1" thickBot="1">
      <c r="A40" s="220" t="s">
        <v>17</v>
      </c>
      <c r="B40" s="221"/>
      <c r="C40" s="222">
        <f>SUM(C35:C38)</f>
        <v>324.80000000000018</v>
      </c>
      <c r="D40" s="223"/>
      <c r="E40" s="222">
        <f>SUM(E35:E38)</f>
        <v>132.10000000000014</v>
      </c>
      <c r="F40" s="224"/>
      <c r="G40" s="222">
        <f>SUM(G35:G38)</f>
        <v>69.399999999999935</v>
      </c>
      <c r="H40" s="224"/>
      <c r="I40" s="222">
        <f>SUM(I35:I38)</f>
        <v>21.400000000000006</v>
      </c>
      <c r="J40" s="224"/>
      <c r="K40" s="222">
        <f>SUM(K35:K38)</f>
        <v>34.499999999999993</v>
      </c>
      <c r="L40" s="224"/>
      <c r="M40" s="225">
        <f>ROUNDDOWN(SUM(M35:M38),1)</f>
        <v>582.20000000000005</v>
      </c>
    </row>
    <row r="41" spans="1:13" ht="14.4" thickTop="1">
      <c r="A41" s="126"/>
      <c r="B41" s="127"/>
      <c r="C41" s="127"/>
      <c r="D41" s="127"/>
      <c r="E41" s="127"/>
      <c r="F41" s="127"/>
      <c r="G41" s="127"/>
      <c r="H41" s="127"/>
      <c r="I41" s="127"/>
      <c r="J41" s="127"/>
      <c r="K41" s="127"/>
      <c r="L41" s="127"/>
      <c r="M41" s="127"/>
    </row>
    <row r="43" spans="1:13">
      <c r="A43" s="58"/>
      <c r="B43" s="59"/>
      <c r="C43" s="59"/>
      <c r="D43" s="59"/>
      <c r="E43" s="59"/>
      <c r="F43" s="59"/>
      <c r="G43" s="59"/>
      <c r="H43" s="59"/>
      <c r="I43" s="60"/>
      <c r="J43" s="59"/>
      <c r="K43" s="59"/>
      <c r="L43" s="59"/>
      <c r="M43" s="59"/>
    </row>
    <row r="44" spans="1:13">
      <c r="A44" s="49"/>
      <c r="B44" s="44"/>
      <c r="C44" s="44"/>
      <c r="D44" s="44"/>
      <c r="E44" s="44"/>
      <c r="F44" s="44"/>
      <c r="G44" s="44"/>
      <c r="H44" s="44"/>
      <c r="I44" s="50"/>
      <c r="J44" s="44"/>
      <c r="K44" s="44"/>
      <c r="L44" s="44"/>
      <c r="M44" s="44"/>
    </row>
    <row r="45" spans="1:13" s="46" customFormat="1" ht="14.1" customHeight="1">
      <c r="A45" s="48"/>
      <c r="B45" s="47"/>
      <c r="C45" s="495"/>
      <c r="D45" s="495"/>
      <c r="E45" s="495"/>
      <c r="F45" s="495"/>
      <c r="G45" s="495"/>
      <c r="H45" s="495"/>
      <c r="I45" s="495"/>
      <c r="J45" s="495"/>
      <c r="K45" s="495"/>
      <c r="L45" s="495"/>
      <c r="M45" s="495"/>
    </row>
    <row r="46" spans="1:13" s="47" customFormat="1" ht="11.25" customHeight="1">
      <c r="A46" s="48"/>
      <c r="C46" s="61"/>
      <c r="D46" s="61"/>
      <c r="E46" s="61"/>
      <c r="F46" s="61"/>
      <c r="G46" s="61"/>
      <c r="H46" s="61"/>
      <c r="I46" s="61"/>
      <c r="J46" s="61"/>
      <c r="K46" s="61"/>
      <c r="L46" s="61"/>
      <c r="M46" s="61"/>
    </row>
    <row r="47" spans="1:13" s="47" customFormat="1" ht="11.25" customHeight="1">
      <c r="A47" s="63"/>
      <c r="C47" s="61"/>
      <c r="D47" s="61"/>
      <c r="E47" s="61"/>
      <c r="F47" s="61"/>
      <c r="G47" s="61"/>
      <c r="H47" s="61"/>
      <c r="I47" s="61"/>
      <c r="J47" s="61"/>
      <c r="K47" s="61"/>
      <c r="L47" s="61"/>
      <c r="M47" s="61"/>
    </row>
    <row r="48" spans="1:13" s="46" customFormat="1" ht="11.25" customHeight="1">
      <c r="A48" s="48"/>
      <c r="B48" s="47"/>
      <c r="C48" s="51"/>
      <c r="D48" s="47"/>
      <c r="E48" s="51"/>
      <c r="F48" s="47"/>
      <c r="G48" s="51"/>
      <c r="H48" s="47"/>
      <c r="I48" s="51"/>
      <c r="J48" s="47"/>
      <c r="K48" s="51"/>
      <c r="L48" s="47"/>
      <c r="M48" s="51"/>
    </row>
    <row r="49" spans="1:13">
      <c r="A49" s="52"/>
      <c r="B49" s="44"/>
      <c r="C49" s="44"/>
      <c r="D49" s="44"/>
      <c r="E49" s="44"/>
      <c r="F49" s="44"/>
      <c r="G49" s="44"/>
      <c r="H49" s="44"/>
      <c r="I49" s="44"/>
      <c r="J49" s="44"/>
      <c r="K49" s="44"/>
      <c r="L49" s="44"/>
      <c r="M49" s="44"/>
    </row>
    <row r="50" spans="1:13">
      <c r="A50" s="53"/>
      <c r="B50" s="45"/>
      <c r="C50" s="43"/>
      <c r="D50" s="44"/>
      <c r="E50" s="43"/>
      <c r="F50" s="45"/>
      <c r="G50" s="43"/>
      <c r="H50" s="44"/>
      <c r="I50" s="43"/>
      <c r="J50" s="45"/>
      <c r="K50" s="43"/>
      <c r="L50" s="44"/>
      <c r="M50" s="43"/>
    </row>
    <row r="51" spans="1:13" ht="25.5" customHeight="1">
      <c r="A51" s="54"/>
      <c r="B51" s="45"/>
      <c r="C51" s="44"/>
      <c r="D51" s="44"/>
      <c r="E51" s="44"/>
      <c r="F51" s="45"/>
      <c r="G51" s="44"/>
      <c r="H51" s="44"/>
      <c r="I51" s="44"/>
      <c r="J51" s="45"/>
      <c r="K51" s="44"/>
      <c r="L51" s="44"/>
      <c r="M51" s="44"/>
    </row>
    <row r="52" spans="1:13">
      <c r="A52" s="55"/>
      <c r="B52" s="45"/>
      <c r="C52" s="44"/>
      <c r="D52" s="44"/>
      <c r="E52" s="44"/>
      <c r="F52" s="45"/>
      <c r="G52" s="44"/>
      <c r="H52" s="44"/>
      <c r="I52" s="44"/>
      <c r="J52" s="45"/>
      <c r="K52" s="44"/>
      <c r="L52" s="44"/>
      <c r="M52" s="44"/>
    </row>
    <row r="53" spans="1:13">
      <c r="A53" s="52"/>
      <c r="B53" s="44"/>
      <c r="C53" s="44"/>
      <c r="D53" s="44"/>
      <c r="E53" s="44"/>
      <c r="F53" s="44"/>
      <c r="G53" s="44"/>
      <c r="H53" s="44"/>
      <c r="I53" s="44"/>
      <c r="J53" s="44"/>
      <c r="K53" s="44"/>
      <c r="L53" s="44"/>
      <c r="M53" s="44"/>
    </row>
    <row r="54" spans="1:13">
      <c r="A54" s="52"/>
      <c r="B54" s="44"/>
      <c r="C54" s="44"/>
      <c r="D54" s="44"/>
      <c r="E54" s="44"/>
      <c r="F54" s="44"/>
      <c r="G54" s="44"/>
      <c r="H54" s="44"/>
      <c r="I54" s="44"/>
      <c r="J54" s="44"/>
      <c r="K54" s="44"/>
      <c r="L54" s="44"/>
      <c r="M54" s="44"/>
    </row>
    <row r="55" spans="1:13" ht="12.75" customHeight="1">
      <c r="A55" s="53"/>
      <c r="B55" s="45"/>
      <c r="C55" s="44"/>
      <c r="D55" s="44"/>
      <c r="E55" s="44"/>
      <c r="F55" s="45"/>
      <c r="G55" s="44"/>
      <c r="H55" s="44"/>
      <c r="I55" s="44"/>
      <c r="J55" s="45"/>
      <c r="K55" s="44"/>
      <c r="L55" s="44"/>
      <c r="M55" s="44"/>
    </row>
    <row r="56" spans="1:13" ht="25.5" customHeight="1">
      <c r="A56" s="54"/>
      <c r="B56" s="45"/>
      <c r="C56" s="44"/>
      <c r="D56" s="44"/>
      <c r="E56" s="44"/>
      <c r="F56" s="45"/>
      <c r="G56" s="44"/>
      <c r="H56" s="44"/>
      <c r="I56" s="44"/>
      <c r="J56" s="45"/>
      <c r="K56" s="44"/>
      <c r="L56" s="44"/>
      <c r="M56" s="44"/>
    </row>
    <row r="57" spans="1:13" ht="12.75" customHeight="1">
      <c r="A57" s="53"/>
      <c r="B57" s="45"/>
      <c r="C57" s="44"/>
      <c r="D57" s="44"/>
      <c r="E57" s="44"/>
      <c r="F57" s="45"/>
      <c r="G57" s="44"/>
      <c r="H57" s="44"/>
      <c r="I57" s="44"/>
      <c r="J57" s="45"/>
      <c r="K57" s="44"/>
      <c r="L57" s="44"/>
      <c r="M57" s="44"/>
    </row>
    <row r="58" spans="1:13">
      <c r="A58" s="55"/>
      <c r="B58" s="45"/>
      <c r="C58" s="44"/>
      <c r="D58" s="44"/>
      <c r="E58" s="44"/>
      <c r="F58" s="45"/>
      <c r="G58" s="44"/>
      <c r="H58" s="44"/>
      <c r="I58" s="44"/>
      <c r="J58" s="45"/>
      <c r="K58" s="44"/>
      <c r="L58" s="44"/>
      <c r="M58" s="44"/>
    </row>
    <row r="59" spans="1:13">
      <c r="A59" s="49"/>
      <c r="B59" s="44"/>
      <c r="C59" s="44"/>
      <c r="D59" s="44"/>
      <c r="E59" s="44"/>
      <c r="F59" s="44"/>
      <c r="G59" s="44"/>
      <c r="H59" s="44"/>
      <c r="I59" s="44"/>
      <c r="J59" s="44"/>
      <c r="K59" s="44"/>
      <c r="L59" s="44"/>
      <c r="M59" s="44"/>
    </row>
    <row r="60" spans="1:13" ht="12.75" customHeight="1">
      <c r="A60" s="49"/>
      <c r="B60" s="44"/>
      <c r="C60" s="44"/>
      <c r="D60" s="44"/>
      <c r="E60" s="44"/>
      <c r="F60" s="44"/>
      <c r="G60" s="44"/>
      <c r="H60" s="44"/>
      <c r="I60" s="44"/>
      <c r="J60" s="44"/>
      <c r="K60" s="44"/>
      <c r="L60" s="44"/>
      <c r="M60" s="44"/>
    </row>
    <row r="61" spans="1:13">
      <c r="A61" s="49"/>
      <c r="B61" s="44"/>
      <c r="C61" s="44"/>
      <c r="D61" s="44"/>
      <c r="E61" s="44"/>
      <c r="F61" s="44"/>
      <c r="G61" s="44"/>
      <c r="H61" s="44"/>
      <c r="I61" s="44"/>
      <c r="J61" s="44"/>
      <c r="K61" s="44"/>
      <c r="L61" s="44"/>
      <c r="M61" s="44"/>
    </row>
    <row r="62" spans="1:13">
      <c r="A62" s="49"/>
      <c r="B62" s="44"/>
      <c r="C62" s="44"/>
      <c r="D62" s="44"/>
      <c r="E62" s="44"/>
      <c r="F62" s="44"/>
      <c r="G62" s="44"/>
      <c r="H62" s="44"/>
      <c r="I62" s="44"/>
      <c r="J62" s="44"/>
      <c r="K62" s="44"/>
      <c r="L62" s="44"/>
      <c r="M62" s="44"/>
    </row>
    <row r="63" spans="1:13">
      <c r="A63" s="49"/>
      <c r="B63" s="44"/>
      <c r="C63" s="44"/>
      <c r="D63" s="44"/>
      <c r="E63" s="44"/>
      <c r="F63" s="44"/>
      <c r="G63" s="44"/>
      <c r="H63" s="44"/>
      <c r="I63" s="44"/>
      <c r="J63" s="44"/>
      <c r="K63" s="44"/>
      <c r="L63" s="44"/>
      <c r="M63" s="44"/>
    </row>
    <row r="64" spans="1:13" ht="25.5" customHeight="1">
      <c r="A64" s="56"/>
      <c r="B64" s="45"/>
      <c r="C64" s="44"/>
      <c r="D64" s="44"/>
      <c r="E64" s="44"/>
      <c r="F64" s="45"/>
      <c r="G64" s="44"/>
      <c r="H64" s="44"/>
      <c r="I64" s="44"/>
      <c r="J64" s="45"/>
      <c r="K64" s="44"/>
      <c r="L64" s="44"/>
      <c r="M64" s="44"/>
    </row>
    <row r="65" spans="1:13">
      <c r="A65" s="49"/>
      <c r="B65" s="44"/>
      <c r="C65" s="44"/>
      <c r="D65" s="44"/>
      <c r="E65" s="44"/>
      <c r="F65" s="44"/>
      <c r="G65" s="44"/>
      <c r="H65" s="44"/>
      <c r="I65" s="44"/>
      <c r="J65" s="44"/>
      <c r="K65" s="44"/>
      <c r="L65" s="44"/>
      <c r="M65" s="44"/>
    </row>
    <row r="66" spans="1:13" ht="25.5" customHeight="1">
      <c r="A66" s="56"/>
      <c r="B66" s="44"/>
      <c r="C66" s="44"/>
      <c r="D66" s="44"/>
      <c r="E66" s="44"/>
      <c r="F66" s="44"/>
      <c r="G66" s="44"/>
      <c r="H66" s="44"/>
      <c r="I66" s="44"/>
      <c r="J66" s="44"/>
      <c r="K66" s="44"/>
      <c r="L66" s="44"/>
      <c r="M66" s="44"/>
    </row>
    <row r="67" spans="1:13" ht="25.5" customHeight="1">
      <c r="A67" s="57"/>
      <c r="B67" s="44"/>
      <c r="C67" s="44"/>
      <c r="D67" s="44"/>
      <c r="E67" s="44"/>
      <c r="F67" s="44"/>
      <c r="G67" s="44"/>
      <c r="H67" s="44"/>
      <c r="I67" s="44"/>
      <c r="J67" s="44"/>
      <c r="K67" s="44"/>
      <c r="L67" s="44"/>
      <c r="M67" s="44"/>
    </row>
    <row r="68" spans="1:13">
      <c r="A68" s="49"/>
      <c r="B68" s="44"/>
      <c r="C68" s="44"/>
      <c r="D68" s="44"/>
      <c r="E68" s="44"/>
      <c r="F68" s="44"/>
      <c r="G68" s="44"/>
      <c r="H68" s="44"/>
      <c r="I68" s="44"/>
      <c r="J68" s="44"/>
      <c r="K68" s="44"/>
      <c r="L68" s="44"/>
      <c r="M68" s="44"/>
    </row>
    <row r="69" spans="1:13">
      <c r="A69" s="56"/>
      <c r="B69" s="45"/>
      <c r="C69" s="44"/>
      <c r="D69" s="44"/>
      <c r="E69" s="44"/>
      <c r="F69" s="44"/>
      <c r="G69" s="44"/>
      <c r="H69" s="44"/>
      <c r="I69" s="44"/>
      <c r="J69" s="44"/>
      <c r="K69" s="44"/>
      <c r="L69" s="44"/>
      <c r="M69" s="44"/>
    </row>
    <row r="70" spans="1:13">
      <c r="A70" s="56"/>
      <c r="B70" s="45"/>
      <c r="C70" s="44"/>
      <c r="D70" s="44"/>
      <c r="E70" s="44"/>
      <c r="F70" s="44"/>
      <c r="G70" s="44"/>
      <c r="H70" s="44"/>
      <c r="I70" s="44"/>
      <c r="J70" s="44"/>
      <c r="K70" s="44"/>
      <c r="L70" s="44"/>
      <c r="M70" s="44"/>
    </row>
    <row r="71" spans="1:13">
      <c r="A71" s="52"/>
      <c r="B71" s="45"/>
      <c r="C71" s="44"/>
      <c r="D71" s="44"/>
      <c r="E71" s="44"/>
      <c r="F71" s="45"/>
      <c r="G71" s="44"/>
      <c r="H71" s="44"/>
      <c r="I71" s="44"/>
      <c r="J71" s="45"/>
      <c r="K71" s="44"/>
      <c r="L71" s="44"/>
      <c r="M71" s="44"/>
    </row>
    <row r="72" spans="1:13" ht="25.5" customHeight="1">
      <c r="A72" s="54"/>
      <c r="B72" s="44"/>
      <c r="C72" s="44"/>
      <c r="D72" s="44"/>
      <c r="E72" s="44"/>
      <c r="F72" s="44"/>
      <c r="G72" s="44"/>
      <c r="H72" s="44"/>
      <c r="I72" s="44"/>
      <c r="J72" s="44"/>
      <c r="K72" s="44"/>
      <c r="L72" s="44"/>
      <c r="M72" s="44"/>
    </row>
    <row r="73" spans="1:13">
      <c r="A73" s="53"/>
      <c r="B73" s="44"/>
      <c r="C73" s="44"/>
      <c r="D73" s="44"/>
      <c r="E73" s="44"/>
      <c r="F73" s="44"/>
      <c r="G73" s="44"/>
      <c r="H73" s="44"/>
      <c r="I73" s="44"/>
      <c r="J73" s="44"/>
      <c r="K73" s="44"/>
      <c r="L73" s="44"/>
      <c r="M73" s="44"/>
    </row>
    <row r="74" spans="1:13">
      <c r="A74" s="54"/>
      <c r="B74" s="45"/>
      <c r="C74" s="44"/>
      <c r="D74" s="44"/>
      <c r="E74" s="44"/>
      <c r="F74" s="45"/>
      <c r="G74" s="44"/>
      <c r="H74" s="44"/>
      <c r="I74" s="44"/>
      <c r="J74" s="45"/>
      <c r="K74" s="44"/>
      <c r="L74" s="44"/>
      <c r="M74" s="44"/>
    </row>
    <row r="75" spans="1:13">
      <c r="A75" s="49"/>
      <c r="B75" s="44"/>
      <c r="C75" s="44"/>
      <c r="D75" s="44"/>
      <c r="E75" s="44"/>
      <c r="F75" s="44"/>
      <c r="G75" s="44"/>
      <c r="H75" s="44"/>
      <c r="I75" s="44"/>
      <c r="J75" s="44"/>
      <c r="K75" s="44"/>
      <c r="L75" s="44"/>
      <c r="M75" s="44"/>
    </row>
    <row r="76" spans="1:13" ht="13.5" customHeight="1">
      <c r="A76" s="52"/>
      <c r="B76" s="44"/>
      <c r="C76" s="43"/>
      <c r="D76" s="44"/>
      <c r="E76" s="43"/>
      <c r="F76" s="43"/>
      <c r="G76" s="43"/>
      <c r="H76" s="43"/>
      <c r="I76" s="43"/>
      <c r="J76" s="43"/>
      <c r="K76" s="43"/>
      <c r="L76" s="43"/>
      <c r="M76" s="43"/>
    </row>
    <row r="77" spans="1:13">
      <c r="A77" s="49"/>
      <c r="B77" s="44"/>
      <c r="C77" s="44"/>
      <c r="D77" s="44"/>
      <c r="E77" s="44"/>
      <c r="F77" s="44"/>
      <c r="G77" s="44"/>
      <c r="H77" s="44"/>
      <c r="I77" s="44"/>
      <c r="J77" s="44"/>
      <c r="K77" s="44"/>
      <c r="L77" s="44"/>
      <c r="M77" s="44"/>
    </row>
    <row r="78" spans="1:13">
      <c r="A78" s="49"/>
      <c r="B78" s="44"/>
      <c r="C78" s="44"/>
      <c r="D78" s="44"/>
      <c r="E78" s="44"/>
      <c r="F78" s="44"/>
      <c r="G78" s="44"/>
      <c r="H78" s="44"/>
      <c r="I78" s="44"/>
      <c r="J78" s="44"/>
      <c r="K78" s="44"/>
      <c r="L78" s="44"/>
      <c r="M78" s="44"/>
    </row>
    <row r="79" spans="1:13">
      <c r="A79" s="58"/>
      <c r="B79" s="59"/>
      <c r="C79" s="59"/>
      <c r="D79" s="59"/>
      <c r="E79" s="59"/>
      <c r="F79" s="59"/>
      <c r="G79" s="59"/>
      <c r="H79" s="59"/>
      <c r="I79" s="60"/>
      <c r="J79" s="59"/>
      <c r="K79" s="59"/>
      <c r="L79" s="59"/>
      <c r="M79" s="59"/>
    </row>
    <row r="80" spans="1:13">
      <c r="A80" s="49"/>
      <c r="B80" s="44"/>
      <c r="C80" s="44"/>
      <c r="D80" s="44"/>
      <c r="E80" s="44"/>
      <c r="F80" s="44"/>
      <c r="G80" s="44"/>
      <c r="H80" s="44"/>
      <c r="I80" s="50"/>
      <c r="J80" s="44"/>
      <c r="K80" s="44"/>
      <c r="L80" s="44"/>
      <c r="M80" s="44"/>
    </row>
    <row r="81" spans="1:13" s="46" customFormat="1" ht="14.1" customHeight="1">
      <c r="A81" s="48"/>
      <c r="B81" s="47"/>
      <c r="C81" s="495"/>
      <c r="D81" s="495"/>
      <c r="E81" s="495"/>
      <c r="F81" s="495"/>
      <c r="G81" s="495"/>
      <c r="H81" s="495"/>
      <c r="I81" s="495"/>
      <c r="J81" s="495"/>
      <c r="K81" s="495"/>
      <c r="L81" s="495"/>
      <c r="M81" s="495"/>
    </row>
    <row r="82" spans="1:13" s="47" customFormat="1" ht="11.25" customHeight="1">
      <c r="A82" s="48"/>
      <c r="C82" s="61"/>
      <c r="D82" s="61"/>
      <c r="E82" s="61"/>
      <c r="F82" s="61"/>
      <c r="G82" s="61"/>
      <c r="H82" s="61"/>
      <c r="I82" s="61"/>
      <c r="J82" s="61"/>
      <c r="K82" s="61"/>
      <c r="L82" s="61"/>
      <c r="M82" s="61"/>
    </row>
    <row r="83" spans="1:13" s="47" customFormat="1" ht="11.25" customHeight="1">
      <c r="A83" s="48"/>
      <c r="C83" s="61"/>
      <c r="D83" s="61"/>
      <c r="E83" s="61"/>
      <c r="F83" s="61"/>
      <c r="G83" s="61"/>
      <c r="H83" s="61"/>
      <c r="I83" s="61"/>
      <c r="J83" s="61"/>
      <c r="K83" s="61"/>
      <c r="L83" s="61"/>
      <c r="M83" s="61"/>
    </row>
    <row r="84" spans="1:13" s="46" customFormat="1" ht="11.25" customHeight="1">
      <c r="A84" s="48"/>
      <c r="B84" s="47"/>
      <c r="C84" s="51"/>
      <c r="D84" s="47"/>
      <c r="E84" s="51"/>
      <c r="F84" s="47"/>
      <c r="G84" s="51"/>
      <c r="H84" s="47"/>
      <c r="I84" s="51"/>
      <c r="J84" s="47"/>
      <c r="K84" s="51"/>
      <c r="L84" s="47"/>
      <c r="M84" s="51"/>
    </row>
    <row r="85" spans="1:13">
      <c r="A85" s="52"/>
      <c r="B85" s="44"/>
      <c r="C85" s="44"/>
      <c r="D85" s="44"/>
      <c r="E85" s="44"/>
      <c r="F85" s="44"/>
      <c r="G85" s="44"/>
      <c r="H85" s="44"/>
      <c r="I85" s="44"/>
      <c r="J85" s="44"/>
      <c r="K85" s="44"/>
      <c r="L85" s="44"/>
      <c r="M85" s="44"/>
    </row>
    <row r="86" spans="1:13" ht="12.75" customHeight="1">
      <c r="A86" s="53"/>
      <c r="B86" s="45"/>
      <c r="C86" s="43"/>
      <c r="D86" s="44"/>
      <c r="E86" s="43"/>
      <c r="F86" s="45"/>
      <c r="G86" s="43"/>
      <c r="H86" s="44"/>
      <c r="I86" s="43"/>
      <c r="J86" s="45"/>
      <c r="K86" s="43"/>
      <c r="L86" s="44"/>
      <c r="M86" s="43"/>
    </row>
    <row r="87" spans="1:13" ht="25.5" customHeight="1">
      <c r="A87" s="54"/>
      <c r="B87" s="45"/>
      <c r="C87" s="44"/>
      <c r="D87" s="44"/>
      <c r="E87" s="44"/>
      <c r="F87" s="45"/>
      <c r="G87" s="44"/>
      <c r="H87" s="44"/>
      <c r="I87" s="44"/>
      <c r="J87" s="45"/>
      <c r="K87" s="44"/>
      <c r="L87" s="44"/>
      <c r="M87" s="44"/>
    </row>
    <row r="88" spans="1:13">
      <c r="A88" s="55"/>
      <c r="B88" s="45"/>
      <c r="C88" s="44"/>
      <c r="D88" s="44"/>
      <c r="E88" s="44"/>
      <c r="F88" s="45"/>
      <c r="G88" s="44"/>
      <c r="H88" s="44"/>
      <c r="I88" s="44"/>
      <c r="J88" s="45"/>
      <c r="K88" s="44"/>
      <c r="L88" s="44"/>
      <c r="M88" s="44"/>
    </row>
    <row r="89" spans="1:13">
      <c r="A89" s="52"/>
      <c r="B89" s="44"/>
      <c r="C89" s="44"/>
      <c r="D89" s="44"/>
      <c r="E89" s="44"/>
      <c r="F89" s="44"/>
      <c r="G89" s="44"/>
      <c r="H89" s="44"/>
      <c r="I89" s="44"/>
      <c r="J89" s="44"/>
      <c r="K89" s="44"/>
      <c r="L89" s="44"/>
      <c r="M89" s="44"/>
    </row>
    <row r="90" spans="1:13">
      <c r="A90" s="52"/>
      <c r="B90" s="44"/>
      <c r="C90" s="44"/>
      <c r="D90" s="44"/>
      <c r="E90" s="44"/>
      <c r="F90" s="44"/>
      <c r="G90" s="44"/>
      <c r="H90" s="44"/>
      <c r="I90" s="44"/>
      <c r="J90" s="44"/>
      <c r="K90" s="44"/>
      <c r="L90" s="44"/>
      <c r="M90" s="44"/>
    </row>
    <row r="91" spans="1:13" ht="12.75" customHeight="1">
      <c r="A91" s="53"/>
      <c r="B91" s="45"/>
      <c r="C91" s="44"/>
      <c r="D91" s="44"/>
      <c r="E91" s="44"/>
      <c r="F91" s="45"/>
      <c r="G91" s="44"/>
      <c r="H91" s="44"/>
      <c r="I91" s="44"/>
      <c r="J91" s="45"/>
      <c r="K91" s="44"/>
      <c r="L91" s="44"/>
      <c r="M91" s="44"/>
    </row>
    <row r="92" spans="1:13" ht="25.5" customHeight="1">
      <c r="A92" s="54"/>
      <c r="B92" s="45"/>
      <c r="C92" s="44"/>
      <c r="D92" s="44"/>
      <c r="E92" s="44"/>
      <c r="F92" s="45"/>
      <c r="G92" s="44"/>
      <c r="H92" s="44"/>
      <c r="I92" s="44"/>
      <c r="J92" s="45"/>
      <c r="K92" s="44"/>
      <c r="L92" s="44"/>
      <c r="M92" s="44"/>
    </row>
    <row r="93" spans="1:13" ht="12.75" customHeight="1">
      <c r="A93" s="53"/>
      <c r="B93" s="45"/>
      <c r="C93" s="44"/>
      <c r="D93" s="44"/>
      <c r="E93" s="44"/>
      <c r="F93" s="45"/>
      <c r="G93" s="44"/>
      <c r="H93" s="44"/>
      <c r="I93" s="44"/>
      <c r="J93" s="45"/>
      <c r="K93" s="44"/>
      <c r="L93" s="44"/>
      <c r="M93" s="44"/>
    </row>
    <row r="94" spans="1:13">
      <c r="A94" s="55"/>
      <c r="B94" s="45"/>
      <c r="C94" s="44"/>
      <c r="D94" s="44"/>
      <c r="E94" s="44"/>
      <c r="F94" s="45"/>
      <c r="G94" s="44"/>
      <c r="H94" s="44"/>
      <c r="I94" s="44"/>
      <c r="J94" s="45"/>
      <c r="K94" s="44"/>
      <c r="L94" s="44"/>
      <c r="M94" s="44"/>
    </row>
    <row r="95" spans="1:13">
      <c r="A95" s="49"/>
      <c r="B95" s="44"/>
      <c r="C95" s="44"/>
      <c r="D95" s="44"/>
      <c r="E95" s="44"/>
      <c r="F95" s="44"/>
      <c r="G95" s="44"/>
      <c r="H95" s="44"/>
      <c r="I95" s="44"/>
      <c r="J95" s="44"/>
      <c r="K95" s="44"/>
      <c r="L95" s="44"/>
      <c r="M95" s="44"/>
    </row>
    <row r="96" spans="1:13" ht="12.75" customHeight="1">
      <c r="A96" s="49"/>
      <c r="B96" s="44"/>
      <c r="C96" s="44"/>
      <c r="D96" s="44"/>
      <c r="E96" s="44"/>
      <c r="F96" s="44"/>
      <c r="G96" s="44"/>
      <c r="H96" s="44"/>
      <c r="I96" s="44"/>
      <c r="J96" s="44"/>
      <c r="K96" s="44"/>
      <c r="L96" s="44"/>
      <c r="M96" s="44"/>
    </row>
    <row r="97" spans="1:13">
      <c r="A97" s="49"/>
      <c r="B97" s="44"/>
      <c r="C97" s="44"/>
      <c r="D97" s="44"/>
      <c r="E97" s="44"/>
      <c r="F97" s="44"/>
      <c r="G97" s="44"/>
      <c r="H97" s="44"/>
      <c r="I97" s="44"/>
      <c r="J97" s="44"/>
      <c r="K97" s="44"/>
      <c r="L97" s="44"/>
      <c r="M97" s="44"/>
    </row>
    <row r="98" spans="1:13">
      <c r="A98" s="49"/>
      <c r="B98" s="44"/>
      <c r="C98" s="44"/>
      <c r="D98" s="44"/>
      <c r="E98" s="44"/>
      <c r="F98" s="44"/>
      <c r="G98" s="44"/>
      <c r="H98" s="44"/>
      <c r="I98" s="44"/>
      <c r="J98" s="44"/>
      <c r="K98" s="44"/>
      <c r="L98" s="44"/>
      <c r="M98" s="44"/>
    </row>
    <row r="99" spans="1:13">
      <c r="A99" s="49"/>
      <c r="B99" s="44"/>
      <c r="C99" s="44"/>
      <c r="D99" s="44"/>
      <c r="E99" s="44"/>
      <c r="F99" s="44"/>
      <c r="G99" s="44"/>
      <c r="H99" s="44"/>
      <c r="I99" s="44"/>
      <c r="J99" s="44"/>
      <c r="K99" s="44"/>
      <c r="L99" s="44"/>
      <c r="M99" s="44"/>
    </row>
    <row r="100" spans="1:13" ht="25.5" customHeight="1">
      <c r="A100" s="56"/>
      <c r="B100" s="45"/>
      <c r="C100" s="44"/>
      <c r="D100" s="44"/>
      <c r="E100" s="44"/>
      <c r="F100" s="45"/>
      <c r="G100" s="44"/>
      <c r="H100" s="44"/>
      <c r="I100" s="44"/>
      <c r="J100" s="45"/>
      <c r="K100" s="44"/>
      <c r="L100" s="44"/>
      <c r="M100" s="44"/>
    </row>
    <row r="101" spans="1:13" ht="12.75" customHeight="1">
      <c r="A101" s="49"/>
      <c r="B101" s="44"/>
      <c r="C101" s="44"/>
      <c r="D101" s="44"/>
      <c r="E101" s="44"/>
      <c r="F101" s="44"/>
      <c r="G101" s="44"/>
      <c r="H101" s="44"/>
      <c r="I101" s="44"/>
      <c r="J101" s="44"/>
      <c r="K101" s="44"/>
      <c r="L101" s="44"/>
      <c r="M101" s="44"/>
    </row>
    <row r="102" spans="1:13" ht="38.25" customHeight="1">
      <c r="A102" s="56"/>
      <c r="B102" s="44"/>
      <c r="C102" s="44"/>
      <c r="D102" s="44"/>
      <c r="E102" s="44"/>
      <c r="F102" s="44"/>
      <c r="G102" s="44"/>
      <c r="H102" s="44"/>
      <c r="I102" s="44"/>
      <c r="J102" s="44"/>
      <c r="K102" s="44"/>
      <c r="L102" s="44"/>
      <c r="M102" s="44"/>
    </row>
    <row r="103" spans="1:13" ht="25.5" customHeight="1">
      <c r="A103" s="57"/>
      <c r="B103" s="44"/>
      <c r="C103" s="44"/>
      <c r="D103" s="44"/>
      <c r="E103" s="44"/>
      <c r="F103" s="44"/>
      <c r="G103" s="44"/>
      <c r="H103" s="44"/>
      <c r="I103" s="44"/>
      <c r="J103" s="44"/>
      <c r="K103" s="44"/>
      <c r="L103" s="44"/>
      <c r="M103" s="44"/>
    </row>
    <row r="104" spans="1:13" ht="12.75" customHeight="1">
      <c r="A104" s="57"/>
      <c r="B104" s="44"/>
      <c r="C104" s="44"/>
      <c r="D104" s="44"/>
      <c r="E104" s="44"/>
      <c r="F104" s="44"/>
      <c r="G104" s="44"/>
      <c r="H104" s="44"/>
      <c r="I104" s="44"/>
      <c r="J104" s="44"/>
      <c r="K104" s="44"/>
      <c r="L104" s="44"/>
      <c r="M104" s="44"/>
    </row>
    <row r="105" spans="1:13" ht="12.75" customHeight="1">
      <c r="A105" s="56"/>
      <c r="B105" s="45"/>
      <c r="C105" s="44"/>
      <c r="D105" s="44"/>
      <c r="E105" s="44"/>
      <c r="F105" s="44"/>
      <c r="G105" s="44"/>
      <c r="H105" s="44"/>
      <c r="I105" s="44"/>
      <c r="J105" s="44"/>
      <c r="K105" s="44"/>
      <c r="L105" s="44"/>
      <c r="M105" s="44"/>
    </row>
    <row r="106" spans="1:13">
      <c r="A106" s="56"/>
      <c r="B106" s="45"/>
      <c r="C106" s="44"/>
      <c r="D106" s="44"/>
      <c r="E106" s="44"/>
      <c r="F106" s="44"/>
      <c r="G106" s="44"/>
      <c r="H106" s="44"/>
      <c r="I106" s="44"/>
      <c r="J106" s="44"/>
      <c r="K106" s="44"/>
      <c r="L106" s="44"/>
      <c r="M106" s="44"/>
    </row>
    <row r="107" spans="1:13">
      <c r="A107" s="52"/>
      <c r="B107" s="45"/>
      <c r="C107" s="44"/>
      <c r="D107" s="44"/>
      <c r="E107" s="44"/>
      <c r="F107" s="45"/>
      <c r="G107" s="44"/>
      <c r="H107" s="44"/>
      <c r="I107" s="44"/>
      <c r="J107" s="45"/>
      <c r="K107" s="44"/>
      <c r="L107" s="44"/>
      <c r="M107" s="44"/>
    </row>
    <row r="108" spans="1:13" ht="25.5" customHeight="1">
      <c r="A108" s="54"/>
      <c r="B108" s="44"/>
      <c r="C108" s="44"/>
      <c r="D108" s="44"/>
      <c r="E108" s="44"/>
      <c r="F108" s="44"/>
      <c r="G108" s="44"/>
      <c r="H108" s="44"/>
      <c r="I108" s="44"/>
      <c r="J108" s="44"/>
      <c r="K108" s="44"/>
      <c r="L108" s="44"/>
      <c r="M108" s="44"/>
    </row>
    <row r="109" spans="1:13">
      <c r="A109" s="54"/>
      <c r="B109" s="45"/>
      <c r="C109" s="44"/>
      <c r="D109" s="44"/>
      <c r="E109" s="44"/>
      <c r="F109" s="45"/>
      <c r="G109" s="44"/>
      <c r="H109" s="44"/>
      <c r="I109" s="44"/>
      <c r="J109" s="45"/>
      <c r="K109" s="44"/>
      <c r="L109" s="44"/>
      <c r="M109" s="44"/>
    </row>
    <row r="110" spans="1:13" ht="12.75" customHeight="1">
      <c r="A110" s="54"/>
      <c r="B110" s="45"/>
      <c r="C110" s="44"/>
      <c r="D110" s="44"/>
      <c r="E110" s="44"/>
      <c r="F110" s="45"/>
      <c r="G110" s="44"/>
      <c r="H110" s="44"/>
      <c r="I110" s="44"/>
      <c r="J110" s="45"/>
      <c r="K110" s="44"/>
      <c r="L110" s="44"/>
      <c r="M110" s="44"/>
    </row>
    <row r="111" spans="1:13" ht="13.5" customHeight="1">
      <c r="A111" s="52"/>
      <c r="B111" s="44"/>
      <c r="C111" s="43"/>
      <c r="D111" s="44"/>
      <c r="E111" s="43"/>
      <c r="F111" s="43"/>
      <c r="G111" s="43"/>
      <c r="H111" s="43"/>
      <c r="I111" s="43"/>
      <c r="J111" s="43"/>
      <c r="K111" s="43"/>
      <c r="L111" s="43"/>
      <c r="M111" s="43"/>
    </row>
    <row r="112" spans="1:13">
      <c r="A112" s="49"/>
      <c r="B112" s="44"/>
      <c r="C112" s="44"/>
      <c r="D112" s="44"/>
      <c r="E112" s="44"/>
      <c r="F112" s="44"/>
      <c r="G112" s="44"/>
      <c r="H112" s="44"/>
      <c r="I112" s="44"/>
      <c r="J112" s="44"/>
      <c r="K112" s="44"/>
      <c r="L112" s="44"/>
      <c r="M112" s="44"/>
    </row>
    <row r="113" spans="1:13">
      <c r="A113" s="49"/>
      <c r="B113" s="44"/>
      <c r="C113" s="44"/>
      <c r="D113" s="44"/>
      <c r="E113" s="44"/>
      <c r="F113" s="44"/>
      <c r="G113" s="44"/>
      <c r="H113" s="44"/>
      <c r="I113" s="44"/>
      <c r="J113" s="44"/>
      <c r="K113" s="44"/>
      <c r="L113" s="44"/>
      <c r="M113" s="44"/>
    </row>
    <row r="114" spans="1:13">
      <c r="A114" s="58"/>
      <c r="B114" s="59"/>
      <c r="C114" s="59"/>
      <c r="D114" s="59"/>
      <c r="E114" s="59"/>
      <c r="F114" s="59"/>
      <c r="G114" s="59"/>
      <c r="H114" s="59"/>
      <c r="I114" s="60"/>
      <c r="J114" s="59"/>
      <c r="K114" s="59"/>
      <c r="L114" s="59"/>
      <c r="M114" s="59"/>
    </row>
    <row r="115" spans="1:13">
      <c r="A115" s="49"/>
      <c r="B115" s="44"/>
      <c r="C115" s="44"/>
      <c r="D115" s="44"/>
      <c r="E115" s="44"/>
      <c r="F115" s="44"/>
      <c r="G115" s="44"/>
      <c r="H115" s="44"/>
      <c r="I115" s="50"/>
      <c r="J115" s="44"/>
      <c r="K115" s="44"/>
      <c r="L115" s="44"/>
      <c r="M115" s="44"/>
    </row>
    <row r="116" spans="1:13" s="46" customFormat="1" ht="14.1" customHeight="1">
      <c r="A116" s="48"/>
      <c r="B116" s="47"/>
      <c r="C116" s="495"/>
      <c r="D116" s="495"/>
      <c r="E116" s="495"/>
      <c r="F116" s="495"/>
      <c r="G116" s="495"/>
      <c r="H116" s="495"/>
      <c r="I116" s="495"/>
      <c r="J116" s="495"/>
      <c r="K116" s="495"/>
      <c r="L116" s="495"/>
      <c r="M116" s="495"/>
    </row>
    <row r="117" spans="1:13" s="47" customFormat="1" ht="11.25" customHeight="1">
      <c r="A117" s="48"/>
      <c r="C117" s="61"/>
      <c r="D117" s="61"/>
      <c r="E117" s="61"/>
      <c r="F117" s="61"/>
      <c r="G117" s="61"/>
      <c r="H117" s="61"/>
      <c r="I117" s="61"/>
      <c r="J117" s="61"/>
      <c r="K117" s="61"/>
      <c r="L117" s="61"/>
      <c r="M117" s="61"/>
    </row>
    <row r="118" spans="1:13" s="47" customFormat="1" ht="11.25" customHeight="1">
      <c r="A118" s="48"/>
      <c r="C118" s="61"/>
      <c r="D118" s="61"/>
      <c r="E118" s="61"/>
      <c r="F118" s="61"/>
      <c r="G118" s="61"/>
      <c r="H118" s="61"/>
      <c r="I118" s="61"/>
      <c r="J118" s="61"/>
      <c r="K118" s="61"/>
      <c r="L118" s="61"/>
      <c r="M118" s="61"/>
    </row>
    <row r="119" spans="1:13" s="46" customFormat="1" ht="11.25" customHeight="1">
      <c r="A119" s="48"/>
      <c r="B119" s="47"/>
      <c r="C119" s="51"/>
      <c r="D119" s="47"/>
      <c r="E119" s="51"/>
      <c r="F119" s="47"/>
      <c r="G119" s="51"/>
      <c r="H119" s="47"/>
      <c r="I119" s="51"/>
      <c r="J119" s="47"/>
      <c r="K119" s="51"/>
      <c r="L119" s="47"/>
      <c r="M119" s="51"/>
    </row>
    <row r="120" spans="1:13">
      <c r="A120" s="52"/>
      <c r="B120" s="44"/>
      <c r="C120" s="44"/>
      <c r="D120" s="44"/>
      <c r="E120" s="44"/>
      <c r="F120" s="44"/>
      <c r="G120" s="44"/>
      <c r="H120" s="44"/>
      <c r="I120" s="44"/>
      <c r="J120" s="44"/>
      <c r="K120" s="44"/>
      <c r="L120" s="44"/>
      <c r="M120" s="44"/>
    </row>
    <row r="121" spans="1:13">
      <c r="A121" s="53"/>
      <c r="B121" s="45"/>
      <c r="C121" s="43"/>
      <c r="D121" s="44"/>
      <c r="E121" s="43"/>
      <c r="F121" s="45"/>
      <c r="G121" s="43"/>
      <c r="H121" s="44"/>
      <c r="I121" s="43"/>
      <c r="J121" s="45"/>
      <c r="K121" s="43"/>
      <c r="L121" s="44"/>
      <c r="M121" s="43"/>
    </row>
    <row r="122" spans="1:13" ht="25.5" customHeight="1">
      <c r="A122" s="54"/>
      <c r="B122" s="45"/>
      <c r="C122" s="44"/>
      <c r="D122" s="44"/>
      <c r="E122" s="44"/>
      <c r="F122" s="45"/>
      <c r="G122" s="44"/>
      <c r="H122" s="44"/>
      <c r="I122" s="44"/>
      <c r="J122" s="45"/>
      <c r="K122" s="44"/>
      <c r="L122" s="44"/>
      <c r="M122" s="44"/>
    </row>
    <row r="123" spans="1:13">
      <c r="A123" s="55"/>
      <c r="B123" s="45"/>
      <c r="C123" s="44"/>
      <c r="D123" s="44"/>
      <c r="E123" s="44"/>
      <c r="F123" s="45"/>
      <c r="G123" s="44"/>
      <c r="H123" s="44"/>
      <c r="I123" s="44"/>
      <c r="J123" s="45"/>
      <c r="K123" s="44"/>
      <c r="L123" s="44"/>
      <c r="M123" s="44"/>
    </row>
    <row r="124" spans="1:13">
      <c r="A124" s="52"/>
      <c r="B124" s="44"/>
      <c r="C124" s="44"/>
      <c r="D124" s="44"/>
      <c r="E124" s="44"/>
      <c r="F124" s="44"/>
      <c r="G124" s="44"/>
      <c r="H124" s="44"/>
      <c r="I124" s="44"/>
      <c r="J124" s="44"/>
      <c r="K124" s="44"/>
      <c r="L124" s="44"/>
      <c r="M124" s="44"/>
    </row>
    <row r="125" spans="1:13">
      <c r="A125" s="52"/>
      <c r="B125" s="44"/>
      <c r="C125" s="44"/>
      <c r="D125" s="44"/>
      <c r="E125" s="44"/>
      <c r="F125" s="44"/>
      <c r="G125" s="44"/>
      <c r="H125" s="44"/>
      <c r="I125" s="44"/>
      <c r="J125" s="44"/>
      <c r="K125" s="44"/>
      <c r="L125" s="44"/>
      <c r="M125" s="44"/>
    </row>
    <row r="126" spans="1:13" ht="12.75" customHeight="1">
      <c r="A126" s="53"/>
      <c r="B126" s="45"/>
      <c r="C126" s="44"/>
      <c r="D126" s="44"/>
      <c r="E126" s="44"/>
      <c r="F126" s="45"/>
      <c r="G126" s="44"/>
      <c r="H126" s="44"/>
      <c r="I126" s="44"/>
      <c r="J126" s="45"/>
      <c r="K126" s="44"/>
      <c r="L126" s="44"/>
      <c r="M126" s="44"/>
    </row>
    <row r="127" spans="1:13" ht="25.5" customHeight="1">
      <c r="A127" s="54"/>
      <c r="B127" s="45"/>
      <c r="C127" s="44"/>
      <c r="D127" s="44"/>
      <c r="E127" s="44"/>
      <c r="F127" s="45"/>
      <c r="G127" s="44"/>
      <c r="H127" s="44"/>
      <c r="I127" s="44"/>
      <c r="J127" s="45"/>
      <c r="K127" s="44"/>
      <c r="L127" s="44"/>
      <c r="M127" s="44"/>
    </row>
    <row r="128" spans="1:13" ht="12.75" customHeight="1">
      <c r="A128" s="53"/>
      <c r="B128" s="45"/>
      <c r="C128" s="44"/>
      <c r="D128" s="44"/>
      <c r="E128" s="44"/>
      <c r="F128" s="45"/>
      <c r="G128" s="44"/>
      <c r="H128" s="44"/>
      <c r="I128" s="44"/>
      <c r="J128" s="45"/>
      <c r="K128" s="44"/>
      <c r="L128" s="44"/>
      <c r="M128" s="44"/>
    </row>
    <row r="129" spans="1:13">
      <c r="A129" s="55"/>
      <c r="B129" s="45"/>
      <c r="C129" s="44"/>
      <c r="D129" s="44"/>
      <c r="E129" s="44"/>
      <c r="F129" s="45"/>
      <c r="G129" s="44"/>
      <c r="H129" s="44"/>
      <c r="I129" s="44"/>
      <c r="J129" s="45"/>
      <c r="K129" s="44"/>
      <c r="L129" s="44"/>
      <c r="M129" s="44"/>
    </row>
    <row r="130" spans="1:13">
      <c r="A130" s="49"/>
      <c r="B130" s="44"/>
      <c r="C130" s="44"/>
      <c r="D130" s="44"/>
      <c r="E130" s="44"/>
      <c r="F130" s="44"/>
      <c r="G130" s="44"/>
      <c r="H130" s="44"/>
      <c r="I130" s="44"/>
      <c r="J130" s="44"/>
      <c r="K130" s="44"/>
      <c r="L130" s="44"/>
      <c r="M130" s="44"/>
    </row>
    <row r="131" spans="1:13" ht="12.75" customHeight="1">
      <c r="A131" s="49"/>
      <c r="B131" s="44"/>
      <c r="C131" s="44"/>
      <c r="D131" s="44"/>
      <c r="E131" s="44"/>
      <c r="F131" s="44"/>
      <c r="G131" s="44"/>
      <c r="H131" s="44"/>
      <c r="I131" s="44"/>
      <c r="J131" s="44"/>
      <c r="K131" s="44"/>
      <c r="L131" s="44"/>
      <c r="M131" s="44"/>
    </row>
    <row r="132" spans="1:13">
      <c r="A132" s="49"/>
      <c r="B132" s="44"/>
      <c r="C132" s="44"/>
      <c r="D132" s="44"/>
      <c r="E132" s="44"/>
      <c r="F132" s="44"/>
      <c r="G132" s="44"/>
      <c r="H132" s="44"/>
      <c r="I132" s="44"/>
      <c r="J132" s="44"/>
      <c r="K132" s="44"/>
      <c r="L132" s="44"/>
      <c r="M132" s="44"/>
    </row>
    <row r="133" spans="1:13">
      <c r="A133" s="49"/>
      <c r="B133" s="44"/>
      <c r="C133" s="44"/>
      <c r="D133" s="44"/>
      <c r="E133" s="44"/>
      <c r="F133" s="44"/>
      <c r="G133" s="44"/>
      <c r="H133" s="44"/>
      <c r="I133" s="44"/>
      <c r="J133" s="44"/>
      <c r="K133" s="44"/>
      <c r="L133" s="44"/>
      <c r="M133" s="44"/>
    </row>
    <row r="134" spans="1:13">
      <c r="A134" s="49"/>
      <c r="B134" s="44"/>
      <c r="C134" s="44"/>
      <c r="D134" s="44"/>
      <c r="E134" s="44"/>
      <c r="F134" s="44"/>
      <c r="G134" s="44"/>
      <c r="H134" s="44"/>
      <c r="I134" s="44"/>
      <c r="J134" s="44"/>
      <c r="K134" s="44"/>
      <c r="L134" s="44"/>
      <c r="M134" s="44"/>
    </row>
    <row r="135" spans="1:13" ht="25.5" customHeight="1">
      <c r="A135" s="56"/>
      <c r="B135" s="45"/>
      <c r="C135" s="44"/>
      <c r="D135" s="44"/>
      <c r="E135" s="44"/>
      <c r="F135" s="45"/>
      <c r="G135" s="44"/>
      <c r="H135" s="44"/>
      <c r="I135" s="44"/>
      <c r="J135" s="45"/>
      <c r="K135" s="44"/>
      <c r="L135" s="44"/>
      <c r="M135" s="44"/>
    </row>
    <row r="136" spans="1:13" ht="12.75" customHeight="1">
      <c r="A136" s="49"/>
      <c r="B136" s="44"/>
      <c r="C136" s="44"/>
      <c r="D136" s="44"/>
      <c r="E136" s="44"/>
      <c r="F136" s="44"/>
      <c r="G136" s="44"/>
      <c r="H136" s="44"/>
      <c r="I136" s="44"/>
      <c r="J136" s="44"/>
      <c r="K136" s="44"/>
      <c r="L136" s="44"/>
      <c r="M136" s="44"/>
    </row>
    <row r="137" spans="1:13" ht="38.25" customHeight="1">
      <c r="A137" s="56"/>
      <c r="B137" s="44"/>
      <c r="C137" s="44"/>
      <c r="D137" s="44"/>
      <c r="E137" s="44"/>
      <c r="F137" s="44"/>
      <c r="G137" s="44"/>
      <c r="H137" s="44"/>
      <c r="I137" s="44"/>
      <c r="J137" s="44"/>
      <c r="K137" s="44"/>
      <c r="L137" s="44"/>
      <c r="M137" s="44"/>
    </row>
    <row r="138" spans="1:13" ht="25.5" customHeight="1">
      <c r="A138" s="57"/>
      <c r="B138" s="44"/>
      <c r="C138" s="44"/>
      <c r="D138" s="44"/>
      <c r="E138" s="44"/>
      <c r="F138" s="44"/>
      <c r="G138" s="44"/>
      <c r="H138" s="44"/>
      <c r="I138" s="44"/>
      <c r="J138" s="44"/>
      <c r="K138" s="44"/>
      <c r="L138" s="44"/>
      <c r="M138" s="44"/>
    </row>
    <row r="139" spans="1:13" ht="12.75" customHeight="1">
      <c r="A139" s="57"/>
      <c r="B139" s="44"/>
      <c r="C139" s="44"/>
      <c r="D139" s="44"/>
      <c r="E139" s="44"/>
      <c r="F139" s="44"/>
      <c r="G139" s="44"/>
      <c r="H139" s="44"/>
      <c r="I139" s="44"/>
      <c r="J139" s="44"/>
      <c r="K139" s="44"/>
      <c r="L139" s="44"/>
      <c r="M139" s="44"/>
    </row>
    <row r="140" spans="1:13" ht="12.75" customHeight="1">
      <c r="A140" s="56"/>
      <c r="B140" s="45"/>
      <c r="C140" s="44"/>
      <c r="D140" s="44"/>
      <c r="E140" s="44"/>
      <c r="F140" s="44"/>
      <c r="G140" s="44"/>
      <c r="H140" s="44"/>
      <c r="I140" s="44"/>
      <c r="J140" s="44"/>
      <c r="K140" s="44"/>
      <c r="L140" s="44"/>
      <c r="M140" s="44"/>
    </row>
    <row r="141" spans="1:13">
      <c r="A141" s="56"/>
      <c r="B141" s="45"/>
      <c r="C141" s="44"/>
      <c r="D141" s="44"/>
      <c r="E141" s="44"/>
      <c r="F141" s="44"/>
      <c r="G141" s="44"/>
      <c r="H141" s="44"/>
      <c r="I141" s="44"/>
      <c r="J141" s="44"/>
      <c r="K141" s="44"/>
      <c r="L141" s="44"/>
      <c r="M141" s="44"/>
    </row>
    <row r="142" spans="1:13">
      <c r="A142" s="52"/>
      <c r="B142" s="45"/>
      <c r="C142" s="44"/>
      <c r="D142" s="44"/>
      <c r="E142" s="44"/>
      <c r="F142" s="45"/>
      <c r="G142" s="44"/>
      <c r="H142" s="44"/>
      <c r="I142" s="44"/>
      <c r="J142" s="45"/>
      <c r="K142" s="44"/>
      <c r="L142" s="44"/>
      <c r="M142" s="44"/>
    </row>
    <row r="143" spans="1:13" ht="25.5" customHeight="1">
      <c r="A143" s="54"/>
      <c r="B143" s="44"/>
      <c r="C143" s="44"/>
      <c r="D143" s="44"/>
      <c r="E143" s="44"/>
      <c r="F143" s="44"/>
      <c r="G143" s="44"/>
      <c r="H143" s="44"/>
      <c r="I143" s="44"/>
      <c r="J143" s="44"/>
      <c r="K143" s="44"/>
      <c r="L143" s="44"/>
      <c r="M143" s="44"/>
    </row>
    <row r="144" spans="1:13">
      <c r="A144" s="53"/>
      <c r="B144" s="44"/>
      <c r="C144" s="44"/>
      <c r="D144" s="44"/>
      <c r="E144" s="44"/>
      <c r="F144" s="44"/>
      <c r="G144" s="44"/>
      <c r="H144" s="44"/>
      <c r="I144" s="44"/>
      <c r="J144" s="44"/>
      <c r="K144" s="44"/>
      <c r="L144" s="44"/>
      <c r="M144" s="44"/>
    </row>
    <row r="145" spans="1:13">
      <c r="A145" s="54"/>
      <c r="B145" s="45"/>
      <c r="C145" s="44"/>
      <c r="D145" s="44"/>
      <c r="E145" s="44"/>
      <c r="F145" s="45"/>
      <c r="G145" s="44"/>
      <c r="H145" s="44"/>
      <c r="I145" s="44"/>
      <c r="J145" s="45"/>
      <c r="K145" s="44"/>
      <c r="L145" s="44"/>
      <c r="M145" s="44"/>
    </row>
    <row r="146" spans="1:13" ht="12.75" customHeight="1">
      <c r="A146" s="54"/>
      <c r="B146" s="45"/>
      <c r="C146" s="44"/>
      <c r="D146" s="44"/>
      <c r="E146" s="44"/>
      <c r="F146" s="45"/>
      <c r="G146" s="44"/>
      <c r="H146" s="44"/>
      <c r="I146" s="44"/>
      <c r="J146" s="45"/>
      <c r="K146" s="44"/>
      <c r="L146" s="44"/>
      <c r="M146" s="44"/>
    </row>
    <row r="147" spans="1:13" ht="13.5" customHeight="1">
      <c r="A147" s="52"/>
      <c r="B147" s="44"/>
      <c r="C147" s="43"/>
      <c r="D147" s="44"/>
      <c r="E147" s="43"/>
      <c r="F147" s="43"/>
      <c r="G147" s="43"/>
      <c r="H147" s="43"/>
      <c r="I147" s="43"/>
      <c r="J147" s="43"/>
      <c r="K147" s="43"/>
      <c r="L147" s="43"/>
      <c r="M147" s="43"/>
    </row>
  </sheetData>
  <mergeCells count="4">
    <mergeCell ref="C11:M11"/>
    <mergeCell ref="C45:M45"/>
    <mergeCell ref="C81:M81"/>
    <mergeCell ref="C116:M116"/>
  </mergeCells>
  <hyperlinks>
    <hyperlink ref="M40" r:id="rId1" display="=@rounddown(SUM(M34:M37),1)"/>
  </hyperlinks>
  <printOptions horizontalCentered="1"/>
  <pageMargins left="0.5" right="0.5" top="0.75" bottom="0.5" header="0.3" footer="0.3"/>
  <pageSetup scale="97"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2"/>
  <sheetViews>
    <sheetView zoomScaleNormal="100" workbookViewId="0">
      <pane xSplit="1" ySplit="3" topLeftCell="G148" activePane="bottomRight" state="frozen"/>
      <selection activeCell="T52" sqref="T52"/>
      <selection pane="topRight" activeCell="T52" sqref="T52"/>
      <selection pane="bottomLeft" activeCell="T52" sqref="T52"/>
      <selection pane="bottomRight" activeCell="A160" sqref="A160"/>
    </sheetView>
  </sheetViews>
  <sheetFormatPr defaultColWidth="9.109375" defaultRowHeight="14.4" outlineLevelRow="1" outlineLevelCol="1"/>
  <cols>
    <col min="1" max="1" width="45.88671875" style="7" customWidth="1"/>
    <col min="2" max="2" width="9.109375" style="5" customWidth="1" outlineLevel="1"/>
    <col min="3" max="3" width="9.109375" style="2" customWidth="1" outlineLevel="1"/>
    <col min="4" max="5" width="9.33203125" style="2" bestFit="1" customWidth="1" outlineLevel="1"/>
    <col min="6" max="6" width="9.33203125" style="65" bestFit="1" customWidth="1"/>
    <col min="7" max="7" width="9.33203125" style="65" bestFit="1" customWidth="1" outlineLevel="1"/>
    <col min="8" max="10" width="9.33203125" style="2" bestFit="1" customWidth="1" outlineLevel="1"/>
    <col min="11" max="11" width="9.33203125" style="65" bestFit="1" customWidth="1"/>
    <col min="12" max="12" width="9.33203125" style="68" bestFit="1" customWidth="1" outlineLevel="1"/>
    <col min="13" max="13" width="10.6640625" style="30" customWidth="1" outlineLevel="1"/>
    <col min="14" max="14" width="11.33203125" style="30" customWidth="1" outlineLevel="1"/>
    <col min="15" max="15" width="9.33203125" style="30" bestFit="1" customWidth="1" outlineLevel="1"/>
    <col min="16" max="16" width="9.33203125" style="68" bestFit="1" customWidth="1"/>
    <col min="17" max="17" width="9.33203125" style="68" bestFit="1" customWidth="1" outlineLevel="1"/>
    <col min="18" max="18" width="9.33203125" style="30" bestFit="1" customWidth="1" outlineLevel="1"/>
    <col min="19" max="19" width="9.109375" style="30" outlineLevel="1"/>
    <col min="20" max="20" width="9.109375" style="2" outlineLevel="1"/>
    <col min="21" max="16384" width="9.109375" style="2"/>
  </cols>
  <sheetData>
    <row r="1" spans="1:21">
      <c r="A1" s="184" t="s">
        <v>232</v>
      </c>
      <c r="B1" s="14"/>
      <c r="C1" s="13"/>
      <c r="D1" s="13"/>
      <c r="E1" s="13"/>
      <c r="F1" s="13"/>
      <c r="G1" s="13"/>
      <c r="H1" s="13"/>
      <c r="I1" s="13"/>
      <c r="J1" s="13"/>
      <c r="K1" s="13"/>
      <c r="L1" s="31"/>
      <c r="M1" s="31"/>
      <c r="N1" s="31"/>
      <c r="O1" s="31"/>
      <c r="P1" s="31"/>
      <c r="Q1" s="31"/>
      <c r="R1" s="31"/>
      <c r="S1" s="31"/>
    </row>
    <row r="2" spans="1:21">
      <c r="A2" s="104" t="s">
        <v>207</v>
      </c>
      <c r="B2" s="483"/>
      <c r="C2" s="74"/>
      <c r="D2" s="74"/>
      <c r="E2" s="74"/>
      <c r="F2" s="74"/>
      <c r="G2" s="74"/>
      <c r="H2" s="74"/>
      <c r="I2" s="74"/>
      <c r="J2" s="74"/>
      <c r="K2" s="74"/>
      <c r="L2" s="281"/>
      <c r="M2" s="281"/>
      <c r="N2" s="281"/>
      <c r="O2" s="281"/>
      <c r="P2" s="281"/>
      <c r="Q2" s="281"/>
      <c r="R2" s="281"/>
      <c r="S2" s="281"/>
      <c r="T2" s="76"/>
      <c r="U2" s="76"/>
    </row>
    <row r="3" spans="1:21">
      <c r="A3" s="103"/>
      <c r="B3" s="111" t="s">
        <v>43</v>
      </c>
      <c r="C3" s="111" t="s">
        <v>46</v>
      </c>
      <c r="D3" s="111" t="s">
        <v>45</v>
      </c>
      <c r="E3" s="111" t="s">
        <v>44</v>
      </c>
      <c r="F3" s="183">
        <v>2014</v>
      </c>
      <c r="G3" s="183" t="s">
        <v>39</v>
      </c>
      <c r="H3" s="111" t="s">
        <v>42</v>
      </c>
      <c r="I3" s="111" t="s">
        <v>41</v>
      </c>
      <c r="J3" s="111" t="s">
        <v>40</v>
      </c>
      <c r="K3" s="183">
        <v>2015</v>
      </c>
      <c r="L3" s="183" t="s">
        <v>38</v>
      </c>
      <c r="M3" s="111" t="s">
        <v>37</v>
      </c>
      <c r="N3" s="111" t="s">
        <v>36</v>
      </c>
      <c r="O3" s="111" t="s">
        <v>35</v>
      </c>
      <c r="P3" s="183">
        <v>2016</v>
      </c>
      <c r="Q3" s="183" t="s">
        <v>34</v>
      </c>
      <c r="R3" s="111" t="s">
        <v>33</v>
      </c>
      <c r="S3" s="111" t="s">
        <v>52</v>
      </c>
      <c r="T3" s="111" t="s">
        <v>256</v>
      </c>
      <c r="U3" s="183">
        <v>2017</v>
      </c>
    </row>
    <row r="4" spans="1:21" s="421" customFormat="1">
      <c r="A4" s="415" t="s">
        <v>227</v>
      </c>
      <c r="B4" s="416"/>
      <c r="C4" s="417"/>
      <c r="D4" s="417"/>
      <c r="E4" s="417"/>
      <c r="F4" s="418"/>
      <c r="G4" s="418"/>
      <c r="H4" s="417"/>
      <c r="I4" s="417"/>
      <c r="J4" s="417"/>
      <c r="K4" s="418"/>
      <c r="L4" s="419"/>
      <c r="M4" s="420"/>
      <c r="N4" s="420"/>
      <c r="O4" s="420"/>
      <c r="P4" s="419"/>
      <c r="Q4" s="419"/>
      <c r="R4" s="420"/>
      <c r="S4" s="420"/>
      <c r="T4" s="420"/>
      <c r="U4" s="419"/>
    </row>
    <row r="5" spans="1:21">
      <c r="A5" s="159" t="s">
        <v>184</v>
      </c>
      <c r="B5" s="282">
        <v>88.2</v>
      </c>
      <c r="C5" s="282">
        <v>98.9</v>
      </c>
      <c r="D5" s="282">
        <v>103.9</v>
      </c>
      <c r="E5" s="282">
        <v>116.3</v>
      </c>
      <c r="F5" s="283">
        <f>+B5+C5+D5+E5</f>
        <v>407.3</v>
      </c>
      <c r="G5" s="283">
        <v>96.5</v>
      </c>
      <c r="H5" s="282">
        <v>104</v>
      </c>
      <c r="I5" s="282">
        <v>147.80000000000001</v>
      </c>
      <c r="J5" s="282">
        <v>239.4</v>
      </c>
      <c r="K5" s="283">
        <f>+G5+H5+I5+J5</f>
        <v>587.70000000000005</v>
      </c>
      <c r="L5" s="283">
        <v>222.3</v>
      </c>
      <c r="M5" s="284">
        <v>234.4</v>
      </c>
      <c r="N5" s="282">
        <v>234.5</v>
      </c>
      <c r="O5" s="282">
        <v>257.10000000000002</v>
      </c>
      <c r="P5" s="283">
        <f>+L5+M5+N5+O5</f>
        <v>948.30000000000007</v>
      </c>
      <c r="Q5" s="283">
        <v>244.7</v>
      </c>
      <c r="R5" s="284">
        <v>268.2</v>
      </c>
      <c r="S5" s="197">
        <v>272.10000000000002</v>
      </c>
      <c r="T5" s="197">
        <v>328.7</v>
      </c>
      <c r="U5" s="283">
        <f>+Q5+R5+S5+T5</f>
        <v>1113.7</v>
      </c>
    </row>
    <row r="6" spans="1:21">
      <c r="A6" s="159" t="s">
        <v>185</v>
      </c>
      <c r="B6" s="282">
        <v>57.2</v>
      </c>
      <c r="C6" s="282">
        <v>56.6</v>
      </c>
      <c r="D6" s="282">
        <v>58.9</v>
      </c>
      <c r="E6" s="282">
        <v>60.5</v>
      </c>
      <c r="F6" s="283">
        <f t="shared" ref="F6:F12" si="0">+B6+C6+D6+E6</f>
        <v>233.20000000000002</v>
      </c>
      <c r="G6" s="283">
        <v>64.5</v>
      </c>
      <c r="H6" s="282">
        <v>66.7</v>
      </c>
      <c r="I6" s="282">
        <v>66.5</v>
      </c>
      <c r="J6" s="282">
        <v>67.900000000000006</v>
      </c>
      <c r="K6" s="283">
        <f t="shared" ref="K6:K12" si="1">+G6+H6+I6+J6</f>
        <v>265.60000000000002</v>
      </c>
      <c r="L6" s="283">
        <v>65.8</v>
      </c>
      <c r="M6" s="284">
        <v>70.8</v>
      </c>
      <c r="N6" s="282">
        <v>66.2</v>
      </c>
      <c r="O6" s="282">
        <v>69.2</v>
      </c>
      <c r="P6" s="283">
        <f t="shared" ref="P6:P12" si="2">+L6+M6+N6+O6</f>
        <v>272</v>
      </c>
      <c r="Q6" s="283">
        <v>68.099999999999994</v>
      </c>
      <c r="R6" s="284">
        <v>69.3</v>
      </c>
      <c r="S6" s="197">
        <f>342.3-S5</f>
        <v>70.199999999999989</v>
      </c>
      <c r="T6" s="197">
        <v>77.3</v>
      </c>
      <c r="U6" s="283">
        <f t="shared" ref="U6:U12" si="3">+Q6+R6+S6+T6</f>
        <v>284.89999999999998</v>
      </c>
    </row>
    <row r="7" spans="1:21">
      <c r="A7" s="159" t="s">
        <v>31</v>
      </c>
      <c r="B7" s="282">
        <v>38</v>
      </c>
      <c r="C7" s="282">
        <v>40.5</v>
      </c>
      <c r="D7" s="282">
        <v>48.8</v>
      </c>
      <c r="E7" s="282">
        <v>54.7</v>
      </c>
      <c r="F7" s="283">
        <f t="shared" si="0"/>
        <v>182</v>
      </c>
      <c r="G7" s="283">
        <v>51.4</v>
      </c>
      <c r="H7" s="282">
        <v>61.3</v>
      </c>
      <c r="I7" s="282">
        <v>61</v>
      </c>
      <c r="J7" s="282">
        <v>65.3</v>
      </c>
      <c r="K7" s="283">
        <f t="shared" si="1"/>
        <v>239</v>
      </c>
      <c r="L7" s="283">
        <v>56.8</v>
      </c>
      <c r="M7" s="284">
        <v>59.5</v>
      </c>
      <c r="N7" s="282">
        <v>62.2</v>
      </c>
      <c r="O7" s="282">
        <v>66.900000000000006</v>
      </c>
      <c r="P7" s="283">
        <f t="shared" si="2"/>
        <v>245.4</v>
      </c>
      <c r="Q7" s="283">
        <v>57.2</v>
      </c>
      <c r="R7" s="284">
        <v>61.6</v>
      </c>
      <c r="S7" s="197">
        <v>59</v>
      </c>
      <c r="T7" s="197">
        <v>67.400000000000006</v>
      </c>
      <c r="U7" s="283">
        <f t="shared" si="3"/>
        <v>245.20000000000002</v>
      </c>
    </row>
    <row r="8" spans="1:21">
      <c r="A8" s="159" t="s">
        <v>186</v>
      </c>
      <c r="B8" s="282">
        <v>15.6</v>
      </c>
      <c r="C8" s="282">
        <v>17.100000000000001</v>
      </c>
      <c r="D8" s="282">
        <v>17.7</v>
      </c>
      <c r="E8" s="282">
        <v>21</v>
      </c>
      <c r="F8" s="283">
        <f t="shared" si="0"/>
        <v>71.400000000000006</v>
      </c>
      <c r="G8" s="283">
        <v>19</v>
      </c>
      <c r="H8" s="282">
        <v>21.6</v>
      </c>
      <c r="I8" s="282">
        <v>24.4</v>
      </c>
      <c r="J8" s="282">
        <v>22.2</v>
      </c>
      <c r="K8" s="283">
        <f t="shared" si="1"/>
        <v>87.2</v>
      </c>
      <c r="L8" s="283">
        <v>26.8</v>
      </c>
      <c r="M8" s="284">
        <v>26.2</v>
      </c>
      <c r="N8" s="282">
        <v>28.3</v>
      </c>
      <c r="O8" s="282">
        <v>30.1</v>
      </c>
      <c r="P8" s="283">
        <f t="shared" si="2"/>
        <v>111.4</v>
      </c>
      <c r="Q8" s="283">
        <v>33.5</v>
      </c>
      <c r="R8" s="284">
        <v>37.200000000000003</v>
      </c>
      <c r="S8" s="197">
        <v>36</v>
      </c>
      <c r="T8" s="197">
        <v>39.700000000000003</v>
      </c>
      <c r="U8" s="283">
        <f t="shared" si="3"/>
        <v>146.4</v>
      </c>
    </row>
    <row r="9" spans="1:21">
      <c r="A9" s="159" t="s">
        <v>28</v>
      </c>
      <c r="B9" s="282">
        <v>278.3</v>
      </c>
      <c r="C9" s="282">
        <v>405.8</v>
      </c>
      <c r="D9" s="282">
        <v>413</v>
      </c>
      <c r="E9" s="282">
        <v>579.79999999999995</v>
      </c>
      <c r="F9" s="283">
        <f t="shared" si="0"/>
        <v>1676.8999999999999</v>
      </c>
      <c r="G9" s="283">
        <v>329</v>
      </c>
      <c r="H9" s="282">
        <v>446.1</v>
      </c>
      <c r="I9" s="282">
        <v>439.8</v>
      </c>
      <c r="J9" s="282">
        <v>599.9</v>
      </c>
      <c r="K9" s="283">
        <f t="shared" si="1"/>
        <v>1814.8000000000002</v>
      </c>
      <c r="L9" s="283">
        <v>389.7</v>
      </c>
      <c r="M9" s="284">
        <v>480.2</v>
      </c>
      <c r="N9" s="282">
        <v>445.1</v>
      </c>
      <c r="O9" s="282">
        <v>619.1</v>
      </c>
      <c r="P9" s="283">
        <f t="shared" si="2"/>
        <v>1934.1</v>
      </c>
      <c r="Q9" s="283">
        <v>397.6</v>
      </c>
      <c r="R9" s="284">
        <v>452.9</v>
      </c>
      <c r="S9" s="197">
        <v>505.9</v>
      </c>
      <c r="T9" s="197">
        <v>696.4</v>
      </c>
      <c r="U9" s="283">
        <f t="shared" si="3"/>
        <v>2052.8000000000002</v>
      </c>
    </row>
    <row r="10" spans="1:21">
      <c r="A10" s="159" t="s">
        <v>27</v>
      </c>
      <c r="B10" s="282">
        <v>159.1</v>
      </c>
      <c r="C10" s="282">
        <v>214.3</v>
      </c>
      <c r="D10" s="282">
        <v>252.1</v>
      </c>
      <c r="E10" s="282">
        <v>309</v>
      </c>
      <c r="F10" s="283">
        <f t="shared" si="0"/>
        <v>934.5</v>
      </c>
      <c r="G10" s="283">
        <v>208.1</v>
      </c>
      <c r="H10" s="282">
        <v>264.2</v>
      </c>
      <c r="I10" s="282">
        <v>288.10000000000002</v>
      </c>
      <c r="J10" s="282">
        <v>334.2</v>
      </c>
      <c r="K10" s="283">
        <f t="shared" si="1"/>
        <v>1094.5999999999999</v>
      </c>
      <c r="L10" s="283">
        <v>221.4</v>
      </c>
      <c r="M10" s="284">
        <v>266.2</v>
      </c>
      <c r="N10" s="282">
        <v>271.3</v>
      </c>
      <c r="O10" s="282">
        <v>343.5</v>
      </c>
      <c r="P10" s="283">
        <f t="shared" si="2"/>
        <v>1102.4000000000001</v>
      </c>
      <c r="Q10" s="283">
        <v>234.4</v>
      </c>
      <c r="R10" s="284">
        <v>262</v>
      </c>
      <c r="S10" s="197">
        <v>290.7</v>
      </c>
      <c r="T10" s="197">
        <v>317.60000000000002</v>
      </c>
      <c r="U10" s="283">
        <f t="shared" si="3"/>
        <v>1104.6999999999998</v>
      </c>
    </row>
    <row r="11" spans="1:21">
      <c r="A11" s="159" t="s">
        <v>187</v>
      </c>
      <c r="B11" s="282">
        <v>55</v>
      </c>
      <c r="C11" s="282">
        <v>60.1</v>
      </c>
      <c r="D11" s="282">
        <v>73.8</v>
      </c>
      <c r="E11" s="282">
        <v>98.7</v>
      </c>
      <c r="F11" s="283">
        <f t="shared" si="0"/>
        <v>287.59999999999997</v>
      </c>
      <c r="G11" s="283">
        <v>82</v>
      </c>
      <c r="H11" s="282">
        <v>89.7</v>
      </c>
      <c r="I11" s="282">
        <v>96.7</v>
      </c>
      <c r="J11" s="282">
        <v>105.5</v>
      </c>
      <c r="K11" s="283">
        <f t="shared" si="1"/>
        <v>373.9</v>
      </c>
      <c r="L11" s="283">
        <v>76.2</v>
      </c>
      <c r="M11" s="284">
        <v>101.6</v>
      </c>
      <c r="N11" s="282">
        <v>121.3</v>
      </c>
      <c r="O11" s="282">
        <v>144</v>
      </c>
      <c r="P11" s="283">
        <f t="shared" si="2"/>
        <v>443.1</v>
      </c>
      <c r="Q11" s="283">
        <v>82.4</v>
      </c>
      <c r="R11" s="284">
        <v>101.6</v>
      </c>
      <c r="S11" s="197">
        <f>143.1-S8</f>
        <v>107.1</v>
      </c>
      <c r="T11" s="197">
        <v>151.9</v>
      </c>
      <c r="U11" s="283">
        <f t="shared" si="3"/>
        <v>443</v>
      </c>
    </row>
    <row r="12" spans="1:21" s="19" customFormat="1">
      <c r="A12" s="217" t="s">
        <v>29</v>
      </c>
      <c r="B12" s="285">
        <v>11.4</v>
      </c>
      <c r="C12" s="285">
        <v>7.7</v>
      </c>
      <c r="D12" s="285">
        <v>7</v>
      </c>
      <c r="E12" s="285">
        <v>11.4</v>
      </c>
      <c r="F12" s="286">
        <f t="shared" si="0"/>
        <v>37.5</v>
      </c>
      <c r="G12" s="286">
        <v>8.5</v>
      </c>
      <c r="H12" s="285">
        <v>10.1</v>
      </c>
      <c r="I12" s="285">
        <v>11</v>
      </c>
      <c r="J12" s="285">
        <v>12.7</v>
      </c>
      <c r="K12" s="286">
        <f t="shared" si="1"/>
        <v>42.3</v>
      </c>
      <c r="L12" s="286">
        <v>12.1</v>
      </c>
      <c r="M12" s="267">
        <v>11.7</v>
      </c>
      <c r="N12" s="285">
        <v>11.8</v>
      </c>
      <c r="O12" s="285">
        <v>14.6</v>
      </c>
      <c r="P12" s="286">
        <f t="shared" si="2"/>
        <v>50.199999999999996</v>
      </c>
      <c r="Q12" s="286">
        <v>12.7</v>
      </c>
      <c r="R12" s="267">
        <v>11.4</v>
      </c>
      <c r="S12" s="198">
        <f>1355.2-S5-S6-S7-S8-S9-S10-S11</f>
        <v>14.199999999999903</v>
      </c>
      <c r="T12" s="198">
        <v>10</v>
      </c>
      <c r="U12" s="286">
        <f t="shared" si="3"/>
        <v>48.299999999999905</v>
      </c>
    </row>
    <row r="13" spans="1:21" s="1" customFormat="1">
      <c r="A13" s="219" t="s">
        <v>188</v>
      </c>
      <c r="B13" s="287">
        <f t="shared" ref="B13:S13" si="4">SUM(B5:B12)</f>
        <v>702.8</v>
      </c>
      <c r="C13" s="287">
        <f t="shared" si="4"/>
        <v>901.00000000000011</v>
      </c>
      <c r="D13" s="287">
        <f t="shared" si="4"/>
        <v>975.19999999999993</v>
      </c>
      <c r="E13" s="287">
        <f t="shared" si="4"/>
        <v>1251.4000000000001</v>
      </c>
      <c r="F13" s="288">
        <f t="shared" si="4"/>
        <v>3830.3999999999996</v>
      </c>
      <c r="G13" s="288">
        <f t="shared" si="4"/>
        <v>859</v>
      </c>
      <c r="H13" s="287">
        <f t="shared" si="4"/>
        <v>1063.7</v>
      </c>
      <c r="I13" s="287">
        <f t="shared" si="4"/>
        <v>1135.3</v>
      </c>
      <c r="J13" s="287">
        <f t="shared" si="4"/>
        <v>1447.1000000000001</v>
      </c>
      <c r="K13" s="288">
        <f t="shared" ref="K13" si="5">SUM(K5:K12)</f>
        <v>4505.1000000000004</v>
      </c>
      <c r="L13" s="289">
        <f t="shared" si="4"/>
        <v>1071.0999999999999</v>
      </c>
      <c r="M13" s="290">
        <f t="shared" si="4"/>
        <v>1250.5999999999999</v>
      </c>
      <c r="N13" s="290">
        <f t="shared" si="4"/>
        <v>1240.6999999999998</v>
      </c>
      <c r="O13" s="290">
        <f t="shared" si="4"/>
        <v>1544.5</v>
      </c>
      <c r="P13" s="288">
        <f t="shared" si="4"/>
        <v>5106.9000000000005</v>
      </c>
      <c r="Q13" s="289">
        <f t="shared" si="4"/>
        <v>1130.6000000000001</v>
      </c>
      <c r="R13" s="290">
        <f t="shared" si="4"/>
        <v>1264.2</v>
      </c>
      <c r="S13" s="290">
        <f t="shared" si="4"/>
        <v>1355.1999999999998</v>
      </c>
      <c r="T13" s="290">
        <f t="shared" ref="T13:U13" si="6">SUM(T5:T12)</f>
        <v>1689</v>
      </c>
      <c r="U13" s="288">
        <f t="shared" si="6"/>
        <v>5439</v>
      </c>
    </row>
    <row r="14" spans="1:21">
      <c r="A14" s="159" t="s">
        <v>49</v>
      </c>
      <c r="B14" s="274">
        <v>318.89999999999998</v>
      </c>
      <c r="C14" s="274">
        <v>334.6</v>
      </c>
      <c r="D14" s="274">
        <v>350.7</v>
      </c>
      <c r="E14" s="274">
        <v>369.1</v>
      </c>
      <c r="F14" s="291">
        <f>+B14+C14+D14+E14</f>
        <v>1373.3000000000002</v>
      </c>
      <c r="G14" s="291">
        <v>370.1</v>
      </c>
      <c r="H14" s="274">
        <v>373</v>
      </c>
      <c r="I14" s="274">
        <v>424.3</v>
      </c>
      <c r="J14" s="274">
        <v>529.20000000000005</v>
      </c>
      <c r="K14" s="291">
        <f>+G14+H14+I14+J14</f>
        <v>1696.6000000000001</v>
      </c>
      <c r="L14" s="283">
        <v>516.79999999999995</v>
      </c>
      <c r="M14" s="284">
        <v>529.70000000000005</v>
      </c>
      <c r="N14" s="282">
        <v>534.6</v>
      </c>
      <c r="O14" s="282">
        <v>558.4</v>
      </c>
      <c r="P14" s="291">
        <f>+L14+M14+N14+O14</f>
        <v>2139.5</v>
      </c>
      <c r="Q14" s="283">
        <v>562</v>
      </c>
      <c r="R14" s="284">
        <v>592.79999999999995</v>
      </c>
      <c r="S14" s="197">
        <f>1969.4-S13</f>
        <v>614.20000000000027</v>
      </c>
      <c r="T14" s="197">
        <f>2341.3-T13</f>
        <v>652.30000000000018</v>
      </c>
      <c r="U14" s="291">
        <f>+Q14+R14+S14+T14</f>
        <v>2421.3000000000002</v>
      </c>
    </row>
    <row r="15" spans="1:21">
      <c r="A15" s="159" t="s">
        <v>152</v>
      </c>
      <c r="B15" s="274">
        <v>1021.7</v>
      </c>
      <c r="C15" s="274">
        <f t="shared" ref="C15:R15" si="7">+C13+C14</f>
        <v>1235.6000000000001</v>
      </c>
      <c r="D15" s="274">
        <f t="shared" si="7"/>
        <v>1325.8999999999999</v>
      </c>
      <c r="E15" s="274">
        <f t="shared" si="7"/>
        <v>1620.5</v>
      </c>
      <c r="F15" s="291">
        <f t="shared" si="7"/>
        <v>5203.7</v>
      </c>
      <c r="G15" s="291">
        <f t="shared" si="7"/>
        <v>1229.0999999999999</v>
      </c>
      <c r="H15" s="274">
        <f t="shared" si="7"/>
        <v>1436.7</v>
      </c>
      <c r="I15" s="274">
        <f t="shared" si="7"/>
        <v>1559.6</v>
      </c>
      <c r="J15" s="274">
        <f t="shared" si="7"/>
        <v>1976.3000000000002</v>
      </c>
      <c r="K15" s="291">
        <f t="shared" ref="K15" si="8">+K13+K14</f>
        <v>6201.7000000000007</v>
      </c>
      <c r="L15" s="283">
        <f t="shared" si="7"/>
        <v>1587.8999999999999</v>
      </c>
      <c r="M15" s="282">
        <f t="shared" si="7"/>
        <v>1780.3</v>
      </c>
      <c r="N15" s="282">
        <f t="shared" si="7"/>
        <v>1775.2999999999997</v>
      </c>
      <c r="O15" s="282">
        <f t="shared" si="7"/>
        <v>2102.9</v>
      </c>
      <c r="P15" s="291">
        <f t="shared" si="7"/>
        <v>7246.4000000000005</v>
      </c>
      <c r="Q15" s="283">
        <f t="shared" si="7"/>
        <v>1692.6000000000001</v>
      </c>
      <c r="R15" s="282">
        <f t="shared" si="7"/>
        <v>1857</v>
      </c>
      <c r="S15" s="197">
        <f>+S13+S14</f>
        <v>1969.4</v>
      </c>
      <c r="T15" s="197">
        <f>+T13+T14</f>
        <v>2341.3000000000002</v>
      </c>
      <c r="U15" s="291">
        <f t="shared" ref="U15" si="9">+U13+U14</f>
        <v>7860.3</v>
      </c>
    </row>
    <row r="16" spans="1:21">
      <c r="A16" s="159"/>
      <c r="B16" s="274"/>
      <c r="C16" s="274"/>
      <c r="D16" s="274"/>
      <c r="E16" s="274"/>
      <c r="F16" s="291"/>
      <c r="G16" s="291"/>
      <c r="H16" s="274"/>
      <c r="I16" s="274"/>
      <c r="J16" s="274"/>
      <c r="K16" s="291"/>
      <c r="L16" s="283"/>
      <c r="M16" s="282"/>
      <c r="N16" s="282"/>
      <c r="O16" s="282"/>
      <c r="P16" s="291"/>
      <c r="Q16" s="283"/>
      <c r="R16" s="284"/>
      <c r="S16" s="197"/>
      <c r="T16" s="197"/>
      <c r="U16" s="291"/>
    </row>
    <row r="17" spans="1:21" s="421" customFormat="1">
      <c r="A17" s="415" t="s">
        <v>20</v>
      </c>
      <c r="B17" s="422"/>
      <c r="C17" s="422"/>
      <c r="D17" s="422"/>
      <c r="E17" s="422"/>
      <c r="F17" s="423"/>
      <c r="G17" s="423"/>
      <c r="H17" s="422"/>
      <c r="I17" s="422"/>
      <c r="J17" s="422"/>
      <c r="K17" s="423"/>
      <c r="L17" s="424"/>
      <c r="M17" s="425"/>
      <c r="N17" s="425"/>
      <c r="O17" s="425"/>
      <c r="P17" s="423"/>
      <c r="Q17" s="424"/>
      <c r="R17" s="426"/>
      <c r="S17" s="427"/>
      <c r="T17" s="427"/>
      <c r="U17" s="423"/>
    </row>
    <row r="18" spans="1:21">
      <c r="A18" s="159" t="s">
        <v>184</v>
      </c>
      <c r="B18" s="282">
        <v>121.7</v>
      </c>
      <c r="C18" s="282">
        <v>141.6</v>
      </c>
      <c r="D18" s="282">
        <v>126.6</v>
      </c>
      <c r="E18" s="282">
        <v>144.69999999999999</v>
      </c>
      <c r="F18" s="283">
        <f>+B18+C18+D18+E18</f>
        <v>534.59999999999991</v>
      </c>
      <c r="G18" s="283">
        <v>122</v>
      </c>
      <c r="H18" s="282">
        <v>147.4</v>
      </c>
      <c r="I18" s="282">
        <v>178.3</v>
      </c>
      <c r="J18" s="282">
        <v>293.10000000000002</v>
      </c>
      <c r="K18" s="283">
        <f>+G18+H18+I18+J18</f>
        <v>740.8</v>
      </c>
      <c r="L18" s="283">
        <v>262.5</v>
      </c>
      <c r="M18" s="284">
        <v>288.5</v>
      </c>
      <c r="N18" s="282">
        <v>264.8</v>
      </c>
      <c r="O18" s="282">
        <v>295.5</v>
      </c>
      <c r="P18" s="283">
        <f>+L18+M18+N18+O18</f>
        <v>1111.3</v>
      </c>
      <c r="Q18" s="283">
        <v>258</v>
      </c>
      <c r="R18" s="284">
        <v>279</v>
      </c>
      <c r="S18" s="197">
        <v>292.8</v>
      </c>
      <c r="T18" s="197">
        <v>332.9</v>
      </c>
      <c r="U18" s="283">
        <f>+Q18+R18+S18+T18</f>
        <v>1162.6999999999998</v>
      </c>
    </row>
    <row r="19" spans="1:21">
      <c r="A19" s="159" t="s">
        <v>185</v>
      </c>
      <c r="B19" s="282">
        <v>37.700000000000003</v>
      </c>
      <c r="C19" s="282">
        <v>27.5</v>
      </c>
      <c r="D19" s="282">
        <v>38.1</v>
      </c>
      <c r="E19" s="282">
        <v>31.7</v>
      </c>
      <c r="F19" s="283">
        <f t="shared" ref="F19:F27" si="10">+B19+C19+D19+E19</f>
        <v>135</v>
      </c>
      <c r="G19" s="283">
        <v>32.4</v>
      </c>
      <c r="H19" s="282">
        <v>35.4</v>
      </c>
      <c r="I19" s="282">
        <v>36.5</v>
      </c>
      <c r="J19" s="282">
        <v>43.3</v>
      </c>
      <c r="K19" s="283">
        <f t="shared" ref="K19:K27" si="11">+G19+H19+I19+J19</f>
        <v>147.6</v>
      </c>
      <c r="L19" s="283">
        <v>32.799999999999997</v>
      </c>
      <c r="M19" s="284">
        <v>37.9</v>
      </c>
      <c r="N19" s="282">
        <v>36.299999999999997</v>
      </c>
      <c r="O19" s="282">
        <v>41.3</v>
      </c>
      <c r="P19" s="283">
        <f t="shared" ref="P19:P27" si="12">+L19+M19+N19+O19</f>
        <v>148.29999999999998</v>
      </c>
      <c r="Q19" s="283">
        <v>34.6</v>
      </c>
      <c r="R19" s="284">
        <v>39.4</v>
      </c>
      <c r="S19" s="197">
        <f>335.8-S18</f>
        <v>43</v>
      </c>
      <c r="T19" s="197">
        <v>48.1</v>
      </c>
      <c r="U19" s="283">
        <f t="shared" ref="U19:U27" si="13">+Q19+R19+S19+T19</f>
        <v>165.1</v>
      </c>
    </row>
    <row r="20" spans="1:21">
      <c r="A20" s="159" t="s">
        <v>31</v>
      </c>
      <c r="B20" s="282">
        <v>34.5</v>
      </c>
      <c r="C20" s="282">
        <v>31.7</v>
      </c>
      <c r="D20" s="282">
        <v>40</v>
      </c>
      <c r="E20" s="282">
        <v>57.5</v>
      </c>
      <c r="F20" s="283">
        <f t="shared" si="10"/>
        <v>163.69999999999999</v>
      </c>
      <c r="G20" s="283">
        <v>32.5</v>
      </c>
      <c r="H20" s="282">
        <v>36.200000000000003</v>
      </c>
      <c r="I20" s="282">
        <v>35.9</v>
      </c>
      <c r="J20" s="282">
        <v>51.5</v>
      </c>
      <c r="K20" s="283">
        <f t="shared" si="11"/>
        <v>156.1</v>
      </c>
      <c r="L20" s="283">
        <v>30.3</v>
      </c>
      <c r="M20" s="284">
        <v>35.6</v>
      </c>
      <c r="N20" s="282">
        <v>31.1</v>
      </c>
      <c r="O20" s="282">
        <v>51.9</v>
      </c>
      <c r="P20" s="283">
        <f t="shared" si="12"/>
        <v>148.9</v>
      </c>
      <c r="Q20" s="283">
        <v>32.5</v>
      </c>
      <c r="R20" s="284">
        <v>37.200000000000003</v>
      </c>
      <c r="S20" s="197">
        <v>39.5</v>
      </c>
      <c r="T20" s="197">
        <v>55.9</v>
      </c>
      <c r="U20" s="283">
        <f t="shared" si="13"/>
        <v>165.1</v>
      </c>
    </row>
    <row r="21" spans="1:21">
      <c r="A21" s="159" t="s">
        <v>186</v>
      </c>
      <c r="B21" s="282">
        <v>3.4</v>
      </c>
      <c r="C21" s="282">
        <v>1.3</v>
      </c>
      <c r="D21" s="282">
        <v>2.8</v>
      </c>
      <c r="E21" s="282">
        <v>3.4</v>
      </c>
      <c r="F21" s="283">
        <f t="shared" si="10"/>
        <v>10.9</v>
      </c>
      <c r="G21" s="283">
        <v>1.9</v>
      </c>
      <c r="H21" s="282">
        <v>2.2999999999999998</v>
      </c>
      <c r="I21" s="282">
        <v>2.2000000000000002</v>
      </c>
      <c r="J21" s="282">
        <v>6.7</v>
      </c>
      <c r="K21" s="283">
        <f t="shared" si="11"/>
        <v>13.1</v>
      </c>
      <c r="L21" s="283">
        <v>2.7</v>
      </c>
      <c r="M21" s="284">
        <v>3.3</v>
      </c>
      <c r="N21" s="282">
        <v>2.5</v>
      </c>
      <c r="O21" s="282">
        <v>2.6</v>
      </c>
      <c r="P21" s="283">
        <f t="shared" si="12"/>
        <v>11.1</v>
      </c>
      <c r="Q21" s="283">
        <v>2.9</v>
      </c>
      <c r="R21" s="284">
        <v>2.7</v>
      </c>
      <c r="S21" s="197">
        <v>2.2999999999999998</v>
      </c>
      <c r="T21" s="197">
        <v>3.1</v>
      </c>
      <c r="U21" s="283">
        <f t="shared" si="13"/>
        <v>11</v>
      </c>
    </row>
    <row r="22" spans="1:21">
      <c r="A22" s="159" t="s">
        <v>28</v>
      </c>
      <c r="B22" s="282">
        <v>80.3</v>
      </c>
      <c r="C22" s="282">
        <v>83.3</v>
      </c>
      <c r="D22" s="282">
        <v>97.6</v>
      </c>
      <c r="E22" s="282">
        <v>147.19999999999999</v>
      </c>
      <c r="F22" s="283">
        <f t="shared" si="10"/>
        <v>408.4</v>
      </c>
      <c r="G22" s="283">
        <v>65.400000000000006</v>
      </c>
      <c r="H22" s="282">
        <v>93.4</v>
      </c>
      <c r="I22" s="282">
        <v>103.4</v>
      </c>
      <c r="J22" s="282">
        <v>163.19999999999999</v>
      </c>
      <c r="K22" s="283">
        <f t="shared" si="11"/>
        <v>425.40000000000003</v>
      </c>
      <c r="L22" s="283">
        <v>70.900000000000006</v>
      </c>
      <c r="M22" s="284">
        <v>82.6</v>
      </c>
      <c r="N22" s="282">
        <v>98.4</v>
      </c>
      <c r="O22" s="282">
        <v>158.80000000000001</v>
      </c>
      <c r="P22" s="283">
        <f t="shared" si="12"/>
        <v>410.70000000000005</v>
      </c>
      <c r="Q22" s="283">
        <v>74.900000000000006</v>
      </c>
      <c r="R22" s="284">
        <v>87.7</v>
      </c>
      <c r="S22" s="197">
        <v>105.3</v>
      </c>
      <c r="T22" s="197">
        <v>177.8</v>
      </c>
      <c r="U22" s="283">
        <f t="shared" si="13"/>
        <v>445.70000000000005</v>
      </c>
    </row>
    <row r="23" spans="1:21">
      <c r="A23" s="159" t="s">
        <v>27</v>
      </c>
      <c r="B23" s="282">
        <v>64.099999999999994</v>
      </c>
      <c r="C23" s="282">
        <v>62.3</v>
      </c>
      <c r="D23" s="282">
        <v>83.2</v>
      </c>
      <c r="E23" s="282">
        <v>142.1</v>
      </c>
      <c r="F23" s="283">
        <f t="shared" si="10"/>
        <v>351.7</v>
      </c>
      <c r="G23" s="283">
        <v>60</v>
      </c>
      <c r="H23" s="282">
        <v>85.6</v>
      </c>
      <c r="I23" s="282">
        <v>88.8</v>
      </c>
      <c r="J23" s="282">
        <v>117.5</v>
      </c>
      <c r="K23" s="283">
        <f t="shared" si="11"/>
        <v>351.9</v>
      </c>
      <c r="L23" s="283">
        <v>62.2</v>
      </c>
      <c r="M23" s="284">
        <v>71.2</v>
      </c>
      <c r="N23" s="282">
        <v>83.7</v>
      </c>
      <c r="O23" s="282">
        <v>117.3</v>
      </c>
      <c r="P23" s="283">
        <f t="shared" si="12"/>
        <v>334.40000000000003</v>
      </c>
      <c r="Q23" s="283">
        <v>67.3</v>
      </c>
      <c r="R23" s="284">
        <v>94.1</v>
      </c>
      <c r="S23" s="197">
        <v>83.9</v>
      </c>
      <c r="T23" s="197">
        <v>151.80000000000001</v>
      </c>
      <c r="U23" s="283">
        <f t="shared" si="13"/>
        <v>397.1</v>
      </c>
    </row>
    <row r="24" spans="1:21">
      <c r="A24" s="159" t="s">
        <v>187</v>
      </c>
      <c r="B24" s="282">
        <v>0.3</v>
      </c>
      <c r="C24" s="282">
        <v>0.1</v>
      </c>
      <c r="D24" s="282">
        <v>0.2</v>
      </c>
      <c r="E24" s="282">
        <v>5.5</v>
      </c>
      <c r="F24" s="283">
        <f t="shared" si="10"/>
        <v>6.1</v>
      </c>
      <c r="G24" s="283">
        <v>1.3</v>
      </c>
      <c r="H24" s="282">
        <v>2.2000000000000002</v>
      </c>
      <c r="I24" s="282">
        <v>1.4</v>
      </c>
      <c r="J24" s="282">
        <v>0.2</v>
      </c>
      <c r="K24" s="283">
        <f t="shared" si="11"/>
        <v>5.1000000000000005</v>
      </c>
      <c r="L24" s="283">
        <v>1.2</v>
      </c>
      <c r="M24" s="284">
        <v>0.1</v>
      </c>
      <c r="N24" s="282">
        <v>0.9</v>
      </c>
      <c r="O24" s="282">
        <v>0.7</v>
      </c>
      <c r="P24" s="283">
        <f t="shared" si="12"/>
        <v>2.9000000000000004</v>
      </c>
      <c r="Q24" s="283">
        <v>1.8</v>
      </c>
      <c r="R24" s="284">
        <v>2</v>
      </c>
      <c r="S24" s="197">
        <f>3.1-S21</f>
        <v>0.80000000000000027</v>
      </c>
      <c r="T24" s="197">
        <v>0.9</v>
      </c>
      <c r="U24" s="283">
        <f t="shared" si="13"/>
        <v>5.5</v>
      </c>
    </row>
    <row r="25" spans="1:21" s="19" customFormat="1">
      <c r="A25" s="217" t="s">
        <v>29</v>
      </c>
      <c r="B25" s="285">
        <v>4.9000000000000004</v>
      </c>
      <c r="C25" s="285">
        <v>10.1</v>
      </c>
      <c r="D25" s="285">
        <v>7.6</v>
      </c>
      <c r="E25" s="285">
        <v>12.7</v>
      </c>
      <c r="F25" s="286">
        <f t="shared" si="10"/>
        <v>35.299999999999997</v>
      </c>
      <c r="G25" s="286">
        <v>6.4</v>
      </c>
      <c r="H25" s="285">
        <v>4.5999999999999996</v>
      </c>
      <c r="I25" s="285">
        <v>8.6</v>
      </c>
      <c r="J25" s="285">
        <v>7.7</v>
      </c>
      <c r="K25" s="286">
        <f t="shared" si="11"/>
        <v>27.3</v>
      </c>
      <c r="L25" s="286">
        <v>3.1</v>
      </c>
      <c r="M25" s="267">
        <v>6.3</v>
      </c>
      <c r="N25" s="285">
        <v>6.8</v>
      </c>
      <c r="O25" s="285">
        <v>7.4</v>
      </c>
      <c r="P25" s="286">
        <f t="shared" si="12"/>
        <v>23.6</v>
      </c>
      <c r="Q25" s="286">
        <v>3.7</v>
      </c>
      <c r="R25" s="267">
        <v>5.8</v>
      </c>
      <c r="S25" s="198">
        <f>574.3-S18-S19-S20-S21-S22-S23-S24</f>
        <v>6.6999999999999282</v>
      </c>
      <c r="T25" s="198">
        <v>10.199999999999999</v>
      </c>
      <c r="U25" s="286">
        <f t="shared" si="13"/>
        <v>26.399999999999928</v>
      </c>
    </row>
    <row r="26" spans="1:21" s="1" customFormat="1">
      <c r="A26" s="219" t="s">
        <v>188</v>
      </c>
      <c r="B26" s="287">
        <f t="shared" ref="B26:S26" si="14">SUM(B18:B25)</f>
        <v>346.90000000000003</v>
      </c>
      <c r="C26" s="287">
        <f t="shared" si="14"/>
        <v>357.90000000000003</v>
      </c>
      <c r="D26" s="287">
        <f t="shared" si="14"/>
        <v>396.1</v>
      </c>
      <c r="E26" s="287">
        <f t="shared" si="14"/>
        <v>544.80000000000007</v>
      </c>
      <c r="F26" s="288">
        <f t="shared" si="14"/>
        <v>1645.6999999999998</v>
      </c>
      <c r="G26" s="288">
        <f t="shared" si="14"/>
        <v>321.90000000000003</v>
      </c>
      <c r="H26" s="287">
        <f t="shared" si="14"/>
        <v>407.10000000000008</v>
      </c>
      <c r="I26" s="287">
        <f t="shared" si="14"/>
        <v>455.1</v>
      </c>
      <c r="J26" s="287">
        <f t="shared" si="14"/>
        <v>683.2</v>
      </c>
      <c r="K26" s="288">
        <f t="shared" ref="K26" si="15">SUM(K18:K25)</f>
        <v>1867.3</v>
      </c>
      <c r="L26" s="289">
        <f t="shared" si="14"/>
        <v>465.70000000000005</v>
      </c>
      <c r="M26" s="290">
        <f t="shared" si="14"/>
        <v>525.5</v>
      </c>
      <c r="N26" s="290">
        <f t="shared" si="14"/>
        <v>524.5</v>
      </c>
      <c r="O26" s="290">
        <f t="shared" si="14"/>
        <v>675.5</v>
      </c>
      <c r="P26" s="288">
        <f t="shared" si="14"/>
        <v>2191.1999999999998</v>
      </c>
      <c r="Q26" s="289">
        <f t="shared" si="14"/>
        <v>475.7</v>
      </c>
      <c r="R26" s="290">
        <f t="shared" si="14"/>
        <v>547.89999999999986</v>
      </c>
      <c r="S26" s="290">
        <f t="shared" si="14"/>
        <v>574.29999999999995</v>
      </c>
      <c r="T26" s="290">
        <f t="shared" ref="T26:U26" si="16">SUM(T18:T25)</f>
        <v>780.69999999999993</v>
      </c>
      <c r="U26" s="288">
        <f t="shared" si="16"/>
        <v>2378.6</v>
      </c>
    </row>
    <row r="27" spans="1:21">
      <c r="A27" s="159" t="s">
        <v>49</v>
      </c>
      <c r="B27" s="274">
        <v>171.7</v>
      </c>
      <c r="C27" s="274">
        <v>153.19999999999999</v>
      </c>
      <c r="D27" s="274">
        <v>178.4</v>
      </c>
      <c r="E27" s="274">
        <v>195.2</v>
      </c>
      <c r="F27" s="283">
        <f t="shared" si="10"/>
        <v>698.5</v>
      </c>
      <c r="G27" s="291">
        <v>169</v>
      </c>
      <c r="H27" s="274">
        <v>174.9</v>
      </c>
      <c r="I27" s="274">
        <v>277.60000000000002</v>
      </c>
      <c r="J27" s="274">
        <v>495.4</v>
      </c>
      <c r="K27" s="283">
        <f t="shared" si="11"/>
        <v>1116.9000000000001</v>
      </c>
      <c r="L27" s="283">
        <v>374.6</v>
      </c>
      <c r="M27" s="284">
        <v>428.4</v>
      </c>
      <c r="N27" s="282">
        <v>423.6</v>
      </c>
      <c r="O27" s="282">
        <v>466.8</v>
      </c>
      <c r="P27" s="283">
        <f t="shared" si="12"/>
        <v>1693.3999999999999</v>
      </c>
      <c r="Q27" s="283">
        <v>368.5</v>
      </c>
      <c r="R27" s="284">
        <v>406.9</v>
      </c>
      <c r="S27" s="197">
        <f>1033-574.3+0.1</f>
        <v>458.80000000000007</v>
      </c>
      <c r="T27" s="197">
        <f>1332.8-T26</f>
        <v>552.1</v>
      </c>
      <c r="U27" s="283">
        <f t="shared" si="13"/>
        <v>1786.3000000000002</v>
      </c>
    </row>
    <row r="28" spans="1:21">
      <c r="A28" s="159" t="s">
        <v>152</v>
      </c>
      <c r="B28" s="274">
        <f t="shared" ref="B28:R28" si="17">+B26+B27</f>
        <v>518.6</v>
      </c>
      <c r="C28" s="274">
        <f t="shared" si="17"/>
        <v>511.1</v>
      </c>
      <c r="D28" s="274">
        <f t="shared" si="17"/>
        <v>574.5</v>
      </c>
      <c r="E28" s="274">
        <f t="shared" si="17"/>
        <v>740</v>
      </c>
      <c r="F28" s="291">
        <f t="shared" si="17"/>
        <v>2344.1999999999998</v>
      </c>
      <c r="G28" s="291">
        <f t="shared" si="17"/>
        <v>490.90000000000003</v>
      </c>
      <c r="H28" s="274">
        <f t="shared" si="17"/>
        <v>582.00000000000011</v>
      </c>
      <c r="I28" s="274">
        <f t="shared" si="17"/>
        <v>732.7</v>
      </c>
      <c r="J28" s="274">
        <f t="shared" si="17"/>
        <v>1178.5999999999999</v>
      </c>
      <c r="K28" s="291">
        <f t="shared" ref="K28" si="18">+K26+K27</f>
        <v>2984.2</v>
      </c>
      <c r="L28" s="283">
        <f t="shared" si="17"/>
        <v>840.30000000000007</v>
      </c>
      <c r="M28" s="282">
        <f t="shared" si="17"/>
        <v>953.9</v>
      </c>
      <c r="N28" s="282">
        <f t="shared" si="17"/>
        <v>948.1</v>
      </c>
      <c r="O28" s="282">
        <f t="shared" si="17"/>
        <v>1142.3</v>
      </c>
      <c r="P28" s="291">
        <f t="shared" si="17"/>
        <v>3884.5999999999995</v>
      </c>
      <c r="Q28" s="283">
        <f t="shared" si="17"/>
        <v>844.2</v>
      </c>
      <c r="R28" s="282">
        <f t="shared" si="17"/>
        <v>954.79999999999984</v>
      </c>
      <c r="S28" s="197">
        <f>+S26+S27</f>
        <v>1033.0999999999999</v>
      </c>
      <c r="T28" s="197">
        <f>+T26+T27</f>
        <v>1332.8</v>
      </c>
      <c r="U28" s="291">
        <f t="shared" ref="U28" si="19">+U26+U27</f>
        <v>4164.8999999999996</v>
      </c>
    </row>
    <row r="29" spans="1:21">
      <c r="A29" s="159"/>
      <c r="B29" s="274"/>
      <c r="C29" s="274"/>
      <c r="D29" s="274"/>
      <c r="E29" s="274"/>
      <c r="F29" s="291"/>
      <c r="G29" s="291"/>
      <c r="H29" s="274"/>
      <c r="I29" s="274"/>
      <c r="J29" s="274"/>
      <c r="K29" s="291"/>
      <c r="L29" s="283"/>
      <c r="M29" s="282"/>
      <c r="N29" s="282"/>
      <c r="O29" s="282"/>
      <c r="P29" s="291"/>
      <c r="Q29" s="283"/>
      <c r="R29" s="284"/>
      <c r="S29" s="197"/>
      <c r="T29" s="197"/>
      <c r="U29" s="291"/>
    </row>
    <row r="30" spans="1:21" s="421" customFormat="1">
      <c r="A30" s="415" t="s">
        <v>228</v>
      </c>
      <c r="B30" s="422"/>
      <c r="C30" s="422"/>
      <c r="D30" s="422"/>
      <c r="E30" s="422"/>
      <c r="F30" s="423"/>
      <c r="G30" s="423"/>
      <c r="H30" s="422"/>
      <c r="I30" s="422"/>
      <c r="J30" s="422"/>
      <c r="K30" s="423"/>
      <c r="L30" s="424"/>
      <c r="M30" s="425"/>
      <c r="N30" s="425"/>
      <c r="O30" s="425"/>
      <c r="P30" s="423"/>
      <c r="Q30" s="424"/>
      <c r="R30" s="426"/>
      <c r="S30" s="427"/>
      <c r="T30" s="427"/>
      <c r="U30" s="423"/>
    </row>
    <row r="31" spans="1:21">
      <c r="A31" s="159" t="s">
        <v>184</v>
      </c>
      <c r="B31" s="282">
        <v>12.2</v>
      </c>
      <c r="C31" s="282">
        <v>13.5</v>
      </c>
      <c r="D31" s="282">
        <v>14.1</v>
      </c>
      <c r="E31" s="282">
        <v>16.3</v>
      </c>
      <c r="F31" s="283">
        <f t="shared" ref="F31:F37" si="20">+B31+C31+D31+E31</f>
        <v>56.099999999999994</v>
      </c>
      <c r="G31" s="283">
        <v>14.9</v>
      </c>
      <c r="H31" s="282">
        <v>17.3</v>
      </c>
      <c r="I31" s="282">
        <v>28.1</v>
      </c>
      <c r="J31" s="282">
        <v>54.8</v>
      </c>
      <c r="K31" s="283">
        <f t="shared" ref="K31:K37" si="21">+G31+H31+I31+J31</f>
        <v>115.1</v>
      </c>
      <c r="L31" s="283">
        <v>51.5</v>
      </c>
      <c r="M31" s="284">
        <v>52.3</v>
      </c>
      <c r="N31" s="282">
        <v>53.9</v>
      </c>
      <c r="O31" s="282">
        <v>55.9</v>
      </c>
      <c r="P31" s="283">
        <f t="shared" ref="P31:P37" si="22">+L31+M31+N31+O31</f>
        <v>213.6</v>
      </c>
      <c r="Q31" s="283">
        <v>56.5</v>
      </c>
      <c r="R31" s="284">
        <v>59.4</v>
      </c>
      <c r="S31" s="197">
        <v>63.4</v>
      </c>
      <c r="T31" s="197">
        <v>67.599999999999994</v>
      </c>
      <c r="U31" s="283">
        <f t="shared" ref="U31:U37" si="23">+Q31+R31+S31+T31</f>
        <v>246.9</v>
      </c>
    </row>
    <row r="32" spans="1:21">
      <c r="A32" s="159" t="s">
        <v>185</v>
      </c>
      <c r="B32" s="282">
        <v>18</v>
      </c>
      <c r="C32" s="282">
        <v>18.3</v>
      </c>
      <c r="D32" s="282">
        <v>21.1</v>
      </c>
      <c r="E32" s="282">
        <v>18.399999999999999</v>
      </c>
      <c r="F32" s="283">
        <f t="shared" si="20"/>
        <v>75.8</v>
      </c>
      <c r="G32" s="283">
        <v>17.899999999999999</v>
      </c>
      <c r="H32" s="282">
        <v>17.899999999999999</v>
      </c>
      <c r="I32" s="282">
        <v>17</v>
      </c>
      <c r="J32" s="282">
        <v>17.100000000000001</v>
      </c>
      <c r="K32" s="283">
        <f t="shared" si="21"/>
        <v>69.900000000000006</v>
      </c>
      <c r="L32" s="283">
        <v>17.100000000000001</v>
      </c>
      <c r="M32" s="284">
        <v>18.3</v>
      </c>
      <c r="N32" s="282">
        <v>18.3</v>
      </c>
      <c r="O32" s="282">
        <v>20.8</v>
      </c>
      <c r="P32" s="283">
        <f t="shared" si="22"/>
        <v>74.5</v>
      </c>
      <c r="Q32" s="283">
        <v>19.7</v>
      </c>
      <c r="R32" s="284">
        <v>20</v>
      </c>
      <c r="S32" s="197">
        <f>85.5-S31</f>
        <v>22.1</v>
      </c>
      <c r="T32" s="197">
        <v>24.3</v>
      </c>
      <c r="U32" s="283">
        <f t="shared" si="23"/>
        <v>86.100000000000009</v>
      </c>
    </row>
    <row r="33" spans="1:21">
      <c r="A33" s="159" t="s">
        <v>31</v>
      </c>
      <c r="B33" s="282">
        <v>23.3</v>
      </c>
      <c r="C33" s="282">
        <v>31.3</v>
      </c>
      <c r="D33" s="282">
        <v>30.6</v>
      </c>
      <c r="E33" s="282">
        <v>30.1</v>
      </c>
      <c r="F33" s="283">
        <f t="shared" si="20"/>
        <v>115.30000000000001</v>
      </c>
      <c r="G33" s="283">
        <v>23.9</v>
      </c>
      <c r="H33" s="282">
        <v>30.2</v>
      </c>
      <c r="I33" s="282">
        <v>27.2</v>
      </c>
      <c r="J33" s="282">
        <v>27.3</v>
      </c>
      <c r="K33" s="283">
        <f t="shared" si="21"/>
        <v>108.6</v>
      </c>
      <c r="L33" s="283">
        <v>23.1</v>
      </c>
      <c r="M33" s="284">
        <v>29.6</v>
      </c>
      <c r="N33" s="282">
        <v>27.1</v>
      </c>
      <c r="O33" s="282">
        <v>30.4</v>
      </c>
      <c r="P33" s="283">
        <f t="shared" si="22"/>
        <v>110.20000000000002</v>
      </c>
      <c r="Q33" s="283">
        <v>26.8</v>
      </c>
      <c r="R33" s="284">
        <v>30.9</v>
      </c>
      <c r="S33" s="197">
        <v>28.5</v>
      </c>
      <c r="T33" s="197">
        <v>31.2</v>
      </c>
      <c r="U33" s="283">
        <f t="shared" si="23"/>
        <v>117.4</v>
      </c>
    </row>
    <row r="34" spans="1:21" hidden="1" outlineLevel="1">
      <c r="A34" s="159" t="s">
        <v>94</v>
      </c>
      <c r="B34" s="282">
        <v>0</v>
      </c>
      <c r="C34" s="282">
        <v>0</v>
      </c>
      <c r="D34" s="282">
        <v>0</v>
      </c>
      <c r="E34" s="282">
        <v>0</v>
      </c>
      <c r="F34" s="283">
        <f t="shared" si="20"/>
        <v>0</v>
      </c>
      <c r="G34" s="283">
        <v>0</v>
      </c>
      <c r="H34" s="282">
        <v>0</v>
      </c>
      <c r="I34" s="282">
        <v>0</v>
      </c>
      <c r="J34" s="282">
        <v>0</v>
      </c>
      <c r="K34" s="283">
        <f t="shared" si="21"/>
        <v>0</v>
      </c>
      <c r="L34" s="283">
        <v>0</v>
      </c>
      <c r="M34" s="284">
        <v>0</v>
      </c>
      <c r="N34" s="282">
        <v>0</v>
      </c>
      <c r="O34" s="282">
        <v>0</v>
      </c>
      <c r="P34" s="283">
        <f t="shared" si="22"/>
        <v>0</v>
      </c>
      <c r="Q34" s="283">
        <v>0</v>
      </c>
      <c r="R34" s="284">
        <v>0</v>
      </c>
      <c r="S34" s="197"/>
      <c r="T34" s="197"/>
      <c r="U34" s="283">
        <f t="shared" si="23"/>
        <v>0</v>
      </c>
    </row>
    <row r="35" spans="1:21" collapsed="1">
      <c r="A35" s="159" t="s">
        <v>28</v>
      </c>
      <c r="B35" s="282">
        <v>52.3</v>
      </c>
      <c r="C35" s="282">
        <v>69.900000000000006</v>
      </c>
      <c r="D35" s="282">
        <v>68.900000000000006</v>
      </c>
      <c r="E35" s="282">
        <v>91.7</v>
      </c>
      <c r="F35" s="283">
        <f t="shared" si="20"/>
        <v>282.8</v>
      </c>
      <c r="G35" s="283">
        <v>52.5</v>
      </c>
      <c r="H35" s="282">
        <v>70.2</v>
      </c>
      <c r="I35" s="282">
        <v>71.099999999999994</v>
      </c>
      <c r="J35" s="282">
        <v>87</v>
      </c>
      <c r="K35" s="283">
        <f t="shared" si="21"/>
        <v>280.8</v>
      </c>
      <c r="L35" s="283">
        <v>53.5</v>
      </c>
      <c r="M35" s="284">
        <v>74.3</v>
      </c>
      <c r="N35" s="282">
        <v>75.900000000000006</v>
      </c>
      <c r="O35" s="282">
        <v>108.5</v>
      </c>
      <c r="P35" s="283">
        <f t="shared" si="22"/>
        <v>312.2</v>
      </c>
      <c r="Q35" s="283">
        <v>60.5</v>
      </c>
      <c r="R35" s="284">
        <v>81.599999999999994</v>
      </c>
      <c r="S35" s="197">
        <v>88.6</v>
      </c>
      <c r="T35" s="197">
        <v>127.4</v>
      </c>
      <c r="U35" s="283">
        <f t="shared" si="23"/>
        <v>358.1</v>
      </c>
    </row>
    <row r="36" spans="1:21">
      <c r="A36" s="159" t="s">
        <v>27</v>
      </c>
      <c r="B36" s="282">
        <v>44</v>
      </c>
      <c r="C36" s="282">
        <v>58.5</v>
      </c>
      <c r="D36" s="282">
        <v>69.099999999999994</v>
      </c>
      <c r="E36" s="282">
        <v>68.2</v>
      </c>
      <c r="F36" s="283">
        <f t="shared" si="20"/>
        <v>239.8</v>
      </c>
      <c r="G36" s="283">
        <v>41</v>
      </c>
      <c r="H36" s="282">
        <v>63.2</v>
      </c>
      <c r="I36" s="282">
        <v>71.099999999999994</v>
      </c>
      <c r="J36" s="282">
        <v>73</v>
      </c>
      <c r="K36" s="283">
        <f t="shared" si="21"/>
        <v>248.3</v>
      </c>
      <c r="L36" s="283">
        <v>45.9</v>
      </c>
      <c r="M36" s="284">
        <v>51.9</v>
      </c>
      <c r="N36" s="282">
        <v>60.1</v>
      </c>
      <c r="O36" s="282">
        <v>103.4</v>
      </c>
      <c r="P36" s="283">
        <f t="shared" si="22"/>
        <v>261.3</v>
      </c>
      <c r="Q36" s="283">
        <v>45.2</v>
      </c>
      <c r="R36" s="284">
        <v>75.3</v>
      </c>
      <c r="S36" s="197">
        <v>80.2</v>
      </c>
      <c r="T36" s="197">
        <v>95.7</v>
      </c>
      <c r="U36" s="283">
        <f t="shared" si="23"/>
        <v>296.39999999999998</v>
      </c>
    </row>
    <row r="37" spans="1:21">
      <c r="A37" s="159" t="s">
        <v>187</v>
      </c>
      <c r="B37" s="282">
        <v>0</v>
      </c>
      <c r="C37" s="282">
        <v>0</v>
      </c>
      <c r="D37" s="282">
        <v>0</v>
      </c>
      <c r="E37" s="282">
        <v>0</v>
      </c>
      <c r="F37" s="283">
        <f t="shared" si="20"/>
        <v>0</v>
      </c>
      <c r="G37" s="283">
        <v>0</v>
      </c>
      <c r="H37" s="282">
        <v>0</v>
      </c>
      <c r="I37" s="282">
        <v>0</v>
      </c>
      <c r="J37" s="282">
        <v>1</v>
      </c>
      <c r="K37" s="283">
        <f t="shared" si="21"/>
        <v>1</v>
      </c>
      <c r="L37" s="283">
        <v>0.2</v>
      </c>
      <c r="M37" s="284">
        <v>0.6</v>
      </c>
      <c r="N37" s="282">
        <v>0.9</v>
      </c>
      <c r="O37" s="282">
        <v>0.5</v>
      </c>
      <c r="P37" s="283">
        <f t="shared" si="22"/>
        <v>2.2000000000000002</v>
      </c>
      <c r="Q37" s="283">
        <v>0.5</v>
      </c>
      <c r="R37" s="284">
        <v>0.9</v>
      </c>
      <c r="S37" s="197">
        <v>0.5</v>
      </c>
      <c r="T37" s="197">
        <v>0.1</v>
      </c>
      <c r="U37" s="283">
        <f t="shared" si="23"/>
        <v>2</v>
      </c>
    </row>
    <row r="38" spans="1:21" s="19" customFormat="1">
      <c r="A38" s="217" t="s">
        <v>29</v>
      </c>
      <c r="B38" s="285">
        <v>3.8</v>
      </c>
      <c r="C38" s="285">
        <v>2.5</v>
      </c>
      <c r="D38" s="285">
        <v>1.8</v>
      </c>
      <c r="E38" s="285">
        <v>3</v>
      </c>
      <c r="F38" s="286">
        <f>+B38+C38+D38+E38</f>
        <v>11.1</v>
      </c>
      <c r="G38" s="286">
        <v>1.6</v>
      </c>
      <c r="H38" s="285">
        <v>2.2999999999999998</v>
      </c>
      <c r="I38" s="285">
        <v>2</v>
      </c>
      <c r="J38" s="285">
        <v>2</v>
      </c>
      <c r="K38" s="286">
        <f>+G38+H38+I38+J38</f>
        <v>7.9</v>
      </c>
      <c r="L38" s="286">
        <v>1.2</v>
      </c>
      <c r="M38" s="267">
        <v>3.4</v>
      </c>
      <c r="N38" s="285">
        <v>4.2</v>
      </c>
      <c r="O38" s="285">
        <v>3.6</v>
      </c>
      <c r="P38" s="286">
        <f>+L38+M38+N38+O38</f>
        <v>12.4</v>
      </c>
      <c r="Q38" s="286">
        <v>2.2000000000000002</v>
      </c>
      <c r="R38" s="267">
        <v>2.2999999999999998</v>
      </c>
      <c r="S38" s="198">
        <f>285.2-S31-S32-S33-S35-S36-S37</f>
        <v>1.8999999999999915</v>
      </c>
      <c r="T38" s="198">
        <v>3.1</v>
      </c>
      <c r="U38" s="286">
        <f>+Q38+R38+S38+T38</f>
        <v>9.4999999999999911</v>
      </c>
    </row>
    <row r="39" spans="1:21" s="1" customFormat="1">
      <c r="A39" s="219" t="s">
        <v>188</v>
      </c>
      <c r="B39" s="287">
        <f t="shared" ref="B39:S39" si="24">SUM(B31:B38)</f>
        <v>153.60000000000002</v>
      </c>
      <c r="C39" s="287">
        <f t="shared" si="24"/>
        <v>194</v>
      </c>
      <c r="D39" s="287">
        <f t="shared" si="24"/>
        <v>205.60000000000002</v>
      </c>
      <c r="E39" s="287">
        <f t="shared" si="24"/>
        <v>227.7</v>
      </c>
      <c r="F39" s="288">
        <f t="shared" si="24"/>
        <v>780.9</v>
      </c>
      <c r="G39" s="288">
        <f t="shared" si="24"/>
        <v>151.79999999999998</v>
      </c>
      <c r="H39" s="287">
        <f t="shared" si="24"/>
        <v>201.10000000000002</v>
      </c>
      <c r="I39" s="287">
        <f t="shared" si="24"/>
        <v>216.49999999999997</v>
      </c>
      <c r="J39" s="287">
        <f t="shared" si="24"/>
        <v>262.2</v>
      </c>
      <c r="K39" s="288">
        <f t="shared" ref="K39" si="25">SUM(K31:K38)</f>
        <v>831.6</v>
      </c>
      <c r="L39" s="289">
        <f t="shared" si="24"/>
        <v>192.49999999999997</v>
      </c>
      <c r="M39" s="290">
        <f t="shared" si="24"/>
        <v>230.4</v>
      </c>
      <c r="N39" s="290">
        <f t="shared" si="24"/>
        <v>240.4</v>
      </c>
      <c r="O39" s="290">
        <f t="shared" si="24"/>
        <v>323.10000000000002</v>
      </c>
      <c r="P39" s="288">
        <f t="shared" si="24"/>
        <v>986.4</v>
      </c>
      <c r="Q39" s="289">
        <f t="shared" si="24"/>
        <v>211.39999999999998</v>
      </c>
      <c r="R39" s="290">
        <f t="shared" si="24"/>
        <v>270.39999999999998</v>
      </c>
      <c r="S39" s="290">
        <f t="shared" si="24"/>
        <v>285.2</v>
      </c>
      <c r="T39" s="290">
        <f t="shared" ref="T39:U39" si="26">SUM(T31:T38)</f>
        <v>349.40000000000003</v>
      </c>
      <c r="U39" s="288">
        <f t="shared" si="26"/>
        <v>1116.4000000000001</v>
      </c>
    </row>
    <row r="40" spans="1:21">
      <c r="A40" s="159" t="s">
        <v>49</v>
      </c>
      <c r="B40" s="274">
        <v>41.9</v>
      </c>
      <c r="C40" s="274">
        <v>47.3</v>
      </c>
      <c r="D40" s="274">
        <v>48.1</v>
      </c>
      <c r="E40" s="274">
        <v>49.5</v>
      </c>
      <c r="F40" s="283">
        <f t="shared" ref="F40" si="27">+B40+C40+D40+E40</f>
        <v>186.79999999999998</v>
      </c>
      <c r="G40" s="291">
        <v>58.2</v>
      </c>
      <c r="H40" s="274">
        <v>62.3</v>
      </c>
      <c r="I40" s="274">
        <v>70.900000000000006</v>
      </c>
      <c r="J40" s="274">
        <v>120.4</v>
      </c>
      <c r="K40" s="283">
        <f t="shared" ref="K40" si="28">+G40+H40+I40+J40</f>
        <v>311.8</v>
      </c>
      <c r="L40" s="283">
        <v>118.9</v>
      </c>
      <c r="M40" s="284">
        <v>129.19999999999999</v>
      </c>
      <c r="N40" s="282">
        <v>121.4</v>
      </c>
      <c r="O40" s="282">
        <v>143.4</v>
      </c>
      <c r="P40" s="283">
        <f t="shared" ref="P40" si="29">+L40+M40+N40+O40</f>
        <v>512.9</v>
      </c>
      <c r="Q40" s="283">
        <v>129.69999999999999</v>
      </c>
      <c r="R40" s="284">
        <v>150.19999999999999</v>
      </c>
      <c r="S40" s="197">
        <f>440.9-S39</f>
        <v>155.69999999999999</v>
      </c>
      <c r="T40" s="197">
        <f>526.6-T39</f>
        <v>177.2</v>
      </c>
      <c r="U40" s="283">
        <f t="shared" ref="U40" si="30">+Q40+R40+S40+T40</f>
        <v>612.79999999999995</v>
      </c>
    </row>
    <row r="41" spans="1:21">
      <c r="A41" s="159" t="s">
        <v>152</v>
      </c>
      <c r="B41" s="274">
        <f t="shared" ref="B41:R41" si="31">+B39+B40</f>
        <v>195.50000000000003</v>
      </c>
      <c r="C41" s="274">
        <f t="shared" si="31"/>
        <v>241.3</v>
      </c>
      <c r="D41" s="274">
        <f t="shared" si="31"/>
        <v>253.70000000000002</v>
      </c>
      <c r="E41" s="274">
        <f t="shared" si="31"/>
        <v>277.2</v>
      </c>
      <c r="F41" s="291">
        <f t="shared" si="31"/>
        <v>967.69999999999993</v>
      </c>
      <c r="G41" s="291">
        <f t="shared" si="31"/>
        <v>210</v>
      </c>
      <c r="H41" s="274">
        <f t="shared" si="31"/>
        <v>263.40000000000003</v>
      </c>
      <c r="I41" s="274">
        <f t="shared" si="31"/>
        <v>287.39999999999998</v>
      </c>
      <c r="J41" s="274">
        <f t="shared" si="31"/>
        <v>382.6</v>
      </c>
      <c r="K41" s="291">
        <f t="shared" ref="K41" si="32">+K39+K40</f>
        <v>1143.4000000000001</v>
      </c>
      <c r="L41" s="283">
        <f t="shared" si="31"/>
        <v>311.39999999999998</v>
      </c>
      <c r="M41" s="282">
        <f t="shared" si="31"/>
        <v>359.6</v>
      </c>
      <c r="N41" s="282">
        <f t="shared" si="31"/>
        <v>361.8</v>
      </c>
      <c r="O41" s="282">
        <f t="shared" si="31"/>
        <v>466.5</v>
      </c>
      <c r="P41" s="291">
        <f t="shared" si="31"/>
        <v>1499.3</v>
      </c>
      <c r="Q41" s="283">
        <f t="shared" si="31"/>
        <v>341.09999999999997</v>
      </c>
      <c r="R41" s="282">
        <f t="shared" si="31"/>
        <v>420.59999999999997</v>
      </c>
      <c r="S41" s="197">
        <f>+S39+S40</f>
        <v>440.9</v>
      </c>
      <c r="T41" s="197">
        <f>+T39+T40</f>
        <v>526.6</v>
      </c>
      <c r="U41" s="291">
        <f t="shared" ref="U41" si="33">+U39+U40</f>
        <v>1729.2</v>
      </c>
    </row>
    <row r="42" spans="1:21">
      <c r="A42" s="159"/>
      <c r="B42" s="274"/>
      <c r="C42" s="274"/>
      <c r="D42" s="274"/>
      <c r="E42" s="274"/>
      <c r="F42" s="291"/>
      <c r="G42" s="291"/>
      <c r="H42" s="274"/>
      <c r="I42" s="274"/>
      <c r="J42" s="274"/>
      <c r="K42" s="291"/>
      <c r="L42" s="283"/>
      <c r="M42" s="282"/>
      <c r="N42" s="282"/>
      <c r="O42" s="282"/>
      <c r="P42" s="291"/>
      <c r="Q42" s="283"/>
      <c r="R42" s="284"/>
      <c r="S42" s="197"/>
      <c r="T42" s="197"/>
      <c r="U42" s="291"/>
    </row>
    <row r="43" spans="1:21" s="421" customFormat="1">
      <c r="A43" s="415" t="s">
        <v>233</v>
      </c>
      <c r="B43" s="428"/>
      <c r="C43" s="422"/>
      <c r="D43" s="422"/>
      <c r="E43" s="422"/>
      <c r="F43" s="423"/>
      <c r="G43" s="423"/>
      <c r="H43" s="422"/>
      <c r="I43" s="422"/>
      <c r="J43" s="422"/>
      <c r="K43" s="423"/>
      <c r="L43" s="424"/>
      <c r="M43" s="425"/>
      <c r="N43" s="425"/>
      <c r="O43" s="425"/>
      <c r="P43" s="423"/>
      <c r="Q43" s="424"/>
      <c r="R43" s="426"/>
      <c r="S43" s="427"/>
      <c r="T43" s="427"/>
      <c r="U43" s="423"/>
    </row>
    <row r="44" spans="1:21">
      <c r="A44" s="159" t="s">
        <v>189</v>
      </c>
      <c r="B44" s="274">
        <v>87.2</v>
      </c>
      <c r="C44" s="274">
        <v>96.5</v>
      </c>
      <c r="D44" s="274">
        <v>87.4</v>
      </c>
      <c r="E44" s="274">
        <v>85.8</v>
      </c>
      <c r="F44" s="283">
        <f t="shared" ref="F44:F45" si="34">+B44+C44+D44+E44</f>
        <v>356.90000000000003</v>
      </c>
      <c r="G44" s="291">
        <v>84.5</v>
      </c>
      <c r="H44" s="274">
        <v>82.8</v>
      </c>
      <c r="I44" s="274">
        <v>79.599999999999994</v>
      </c>
      <c r="J44" s="274">
        <v>83.7</v>
      </c>
      <c r="K44" s="283">
        <f t="shared" ref="K44:K45" si="35">+G44+H44+I44+J44</f>
        <v>330.6</v>
      </c>
      <c r="L44" s="283">
        <v>78.8</v>
      </c>
      <c r="M44" s="282">
        <v>82.2</v>
      </c>
      <c r="N44" s="282">
        <v>82.2</v>
      </c>
      <c r="O44" s="282">
        <v>77.900000000000006</v>
      </c>
      <c r="P44" s="283">
        <f t="shared" ref="P44:P45" si="36">+L44+M44+N44+O44</f>
        <v>321.10000000000002</v>
      </c>
      <c r="Q44" s="283">
        <v>75</v>
      </c>
      <c r="R44" s="284">
        <v>74</v>
      </c>
      <c r="S44" s="197">
        <v>80.5</v>
      </c>
      <c r="T44" s="197">
        <v>87.9</v>
      </c>
      <c r="U44" s="283">
        <f t="shared" ref="U44:U45" si="37">+Q44+R44+S44+T44</f>
        <v>317.39999999999998</v>
      </c>
    </row>
    <row r="45" spans="1:21">
      <c r="A45" s="159" t="s">
        <v>190</v>
      </c>
      <c r="B45" s="255">
        <f>22.4+2.1</f>
        <v>24.5</v>
      </c>
      <c r="C45" s="255">
        <f>21.1+1.3</f>
        <v>22.400000000000002</v>
      </c>
      <c r="D45" s="255">
        <f>16.5+0.4</f>
        <v>16.899999999999999</v>
      </c>
      <c r="E45" s="255">
        <v>18.600000000000001</v>
      </c>
      <c r="F45" s="283">
        <f t="shared" si="34"/>
        <v>82.4</v>
      </c>
      <c r="G45" s="256">
        <v>18.2</v>
      </c>
      <c r="H45" s="255">
        <v>10.7</v>
      </c>
      <c r="I45" s="255">
        <v>15.4</v>
      </c>
      <c r="J45" s="255">
        <v>28.8</v>
      </c>
      <c r="K45" s="283">
        <f t="shared" si="35"/>
        <v>73.099999999999994</v>
      </c>
      <c r="L45" s="266">
        <v>9.6999999999999993</v>
      </c>
      <c r="M45" s="265">
        <v>12.1</v>
      </c>
      <c r="N45" s="265">
        <v>7.3</v>
      </c>
      <c r="O45" s="265">
        <v>13.6</v>
      </c>
      <c r="P45" s="283">
        <f t="shared" si="36"/>
        <v>42.699999999999996</v>
      </c>
      <c r="Q45" s="266">
        <v>11.2</v>
      </c>
      <c r="R45" s="265">
        <v>11.5</v>
      </c>
      <c r="S45" s="197">
        <f>92.1-S44-S46</f>
        <v>9.0999999999999943</v>
      </c>
      <c r="T45" s="197">
        <v>13.2</v>
      </c>
      <c r="U45" s="283">
        <f t="shared" si="37"/>
        <v>44.999999999999993</v>
      </c>
    </row>
    <row r="46" spans="1:21" s="19" customFormat="1">
      <c r="A46" s="217" t="s">
        <v>191</v>
      </c>
      <c r="B46" s="292">
        <v>0.8</v>
      </c>
      <c r="C46" s="292">
        <v>7.4</v>
      </c>
      <c r="D46" s="292">
        <v>0.7</v>
      </c>
      <c r="E46" s="292">
        <v>20.8</v>
      </c>
      <c r="F46" s="286">
        <f>+B46+C46+D46+E46</f>
        <v>29.700000000000003</v>
      </c>
      <c r="G46" s="293">
        <v>7.5</v>
      </c>
      <c r="H46" s="292">
        <v>0.6</v>
      </c>
      <c r="I46" s="292">
        <v>19.100000000000001</v>
      </c>
      <c r="J46" s="292">
        <v>29.8</v>
      </c>
      <c r="K46" s="286">
        <f>+G46+H46+I46+J46</f>
        <v>57</v>
      </c>
      <c r="L46" s="286">
        <v>1.9</v>
      </c>
      <c r="M46" s="285">
        <v>1.4</v>
      </c>
      <c r="N46" s="285">
        <v>2.2999999999999998</v>
      </c>
      <c r="O46" s="285">
        <v>0.4</v>
      </c>
      <c r="P46" s="286">
        <f>+L46+M46+N46+O46</f>
        <v>6</v>
      </c>
      <c r="Q46" s="286">
        <v>3.3</v>
      </c>
      <c r="R46" s="285">
        <v>7.3</v>
      </c>
      <c r="S46" s="198">
        <v>2.5</v>
      </c>
      <c r="T46" s="198">
        <v>2.1</v>
      </c>
      <c r="U46" s="286">
        <f>+Q46+R46+S46+T46</f>
        <v>15.2</v>
      </c>
    </row>
    <row r="47" spans="1:21">
      <c r="A47" s="219" t="s">
        <v>152</v>
      </c>
      <c r="B47" s="259">
        <f t="shared" ref="B47:S47" si="38">SUM(B44:B46)</f>
        <v>112.5</v>
      </c>
      <c r="C47" s="259">
        <f t="shared" si="38"/>
        <v>126.30000000000001</v>
      </c>
      <c r="D47" s="259">
        <f t="shared" si="38"/>
        <v>105.00000000000001</v>
      </c>
      <c r="E47" s="259">
        <f t="shared" si="38"/>
        <v>125.2</v>
      </c>
      <c r="F47" s="260">
        <f t="shared" si="38"/>
        <v>469.00000000000006</v>
      </c>
      <c r="G47" s="260">
        <f t="shared" si="38"/>
        <v>110.2</v>
      </c>
      <c r="H47" s="259">
        <f t="shared" si="38"/>
        <v>94.1</v>
      </c>
      <c r="I47" s="259">
        <f t="shared" si="38"/>
        <v>114.1</v>
      </c>
      <c r="J47" s="259">
        <f t="shared" si="38"/>
        <v>142.30000000000001</v>
      </c>
      <c r="K47" s="260">
        <f t="shared" ref="K47" si="39">SUM(K44:K46)</f>
        <v>460.70000000000005</v>
      </c>
      <c r="L47" s="270">
        <f t="shared" si="38"/>
        <v>90.4</v>
      </c>
      <c r="M47" s="269">
        <f t="shared" si="38"/>
        <v>95.7</v>
      </c>
      <c r="N47" s="269">
        <f t="shared" si="38"/>
        <v>91.8</v>
      </c>
      <c r="O47" s="269">
        <f t="shared" si="38"/>
        <v>91.9</v>
      </c>
      <c r="P47" s="260">
        <f t="shared" si="38"/>
        <v>369.8</v>
      </c>
      <c r="Q47" s="270">
        <f t="shared" si="38"/>
        <v>89.5</v>
      </c>
      <c r="R47" s="269">
        <f t="shared" si="38"/>
        <v>92.8</v>
      </c>
      <c r="S47" s="269">
        <f t="shared" si="38"/>
        <v>92.1</v>
      </c>
      <c r="T47" s="269">
        <f t="shared" ref="T47:U47" si="40">SUM(T44:T46)</f>
        <v>103.2</v>
      </c>
      <c r="U47" s="260">
        <f t="shared" si="40"/>
        <v>377.59999999999997</v>
      </c>
    </row>
    <row r="48" spans="1:21">
      <c r="A48" s="159"/>
      <c r="B48" s="191"/>
      <c r="C48" s="191"/>
      <c r="D48" s="191"/>
      <c r="E48" s="191"/>
      <c r="F48" s="188"/>
      <c r="G48" s="188"/>
      <c r="H48" s="191"/>
      <c r="I48" s="191"/>
      <c r="J48" s="191"/>
      <c r="K48" s="188"/>
      <c r="L48" s="376"/>
      <c r="M48" s="197"/>
      <c r="N48" s="197"/>
      <c r="O48" s="197"/>
      <c r="P48" s="188"/>
      <c r="Q48" s="376"/>
      <c r="R48" s="82"/>
      <c r="S48" s="197"/>
      <c r="T48" s="197"/>
      <c r="U48" s="188"/>
    </row>
    <row r="49" spans="1:21" s="435" customFormat="1">
      <c r="A49" s="429" t="s">
        <v>230</v>
      </c>
      <c r="B49" s="430"/>
      <c r="C49" s="430"/>
      <c r="D49" s="430"/>
      <c r="E49" s="430"/>
      <c r="F49" s="431"/>
      <c r="G49" s="431"/>
      <c r="H49" s="430"/>
      <c r="I49" s="430"/>
      <c r="J49" s="430"/>
      <c r="K49" s="431"/>
      <c r="L49" s="432"/>
      <c r="M49" s="433"/>
      <c r="N49" s="433"/>
      <c r="O49" s="433"/>
      <c r="P49" s="431"/>
      <c r="Q49" s="432"/>
      <c r="R49" s="434"/>
      <c r="S49" s="433"/>
      <c r="T49" s="433"/>
      <c r="U49" s="431"/>
    </row>
    <row r="50" spans="1:21" s="1" customFormat="1">
      <c r="A50" s="219" t="s">
        <v>152</v>
      </c>
      <c r="B50" s="294">
        <v>12.4</v>
      </c>
      <c r="C50" s="294">
        <v>12.6</v>
      </c>
      <c r="D50" s="294">
        <v>16</v>
      </c>
      <c r="E50" s="294">
        <v>24.3</v>
      </c>
      <c r="F50" s="295">
        <f>+B50+C50+D50+E50</f>
        <v>65.3</v>
      </c>
      <c r="G50" s="295">
        <v>12.3</v>
      </c>
      <c r="H50" s="294">
        <v>14.4</v>
      </c>
      <c r="I50" s="294">
        <v>18.600000000000001</v>
      </c>
      <c r="J50" s="294">
        <v>20.3</v>
      </c>
      <c r="K50" s="295">
        <f>+G50+H50+I50+J50</f>
        <v>65.600000000000009</v>
      </c>
      <c r="L50" s="296">
        <v>16.8</v>
      </c>
      <c r="M50" s="297">
        <v>17.899999999999999</v>
      </c>
      <c r="N50" s="297">
        <v>16.5</v>
      </c>
      <c r="O50" s="297">
        <v>20.3</v>
      </c>
      <c r="P50" s="295">
        <f>+L50+M50+N50+O50</f>
        <v>71.5</v>
      </c>
      <c r="Q50" s="296">
        <v>13.7</v>
      </c>
      <c r="R50" s="298">
        <v>17.100000000000001</v>
      </c>
      <c r="S50" s="299">
        <v>14.5</v>
      </c>
      <c r="T50" s="299">
        <v>32.299999999999997</v>
      </c>
      <c r="U50" s="295">
        <f>+Q50+R50+S50+T50</f>
        <v>77.599999999999994</v>
      </c>
    </row>
    <row r="51" spans="1:21" s="1" customFormat="1">
      <c r="A51" s="159" t="s">
        <v>165</v>
      </c>
      <c r="B51" s="300"/>
      <c r="C51" s="300"/>
      <c r="D51" s="300"/>
      <c r="E51" s="300"/>
      <c r="F51" s="301"/>
      <c r="G51" s="301"/>
      <c r="H51" s="300"/>
      <c r="I51" s="300"/>
      <c r="J51" s="300"/>
      <c r="K51" s="301"/>
      <c r="L51" s="302"/>
      <c r="M51" s="303"/>
      <c r="N51" s="303"/>
      <c r="O51" s="303"/>
      <c r="P51" s="301"/>
      <c r="Q51" s="302"/>
      <c r="R51" s="196"/>
      <c r="S51" s="197"/>
      <c r="T51" s="197"/>
      <c r="U51" s="301"/>
    </row>
    <row r="52" spans="1:21" s="1" customFormat="1">
      <c r="A52" s="159" t="s">
        <v>196</v>
      </c>
      <c r="B52" s="265">
        <f>+'Segment EBITDA Detail History'!B136</f>
        <v>13.118738460000001</v>
      </c>
      <c r="C52" s="265">
        <f>+'Segment EBITDA Detail History'!C136</f>
        <v>1.4454556200000002</v>
      </c>
      <c r="D52" s="265">
        <f>+'Segment EBITDA Detail History'!D136</f>
        <v>30.185393600000001</v>
      </c>
      <c r="E52" s="265">
        <f>+'Segment EBITDA Detail History'!E136</f>
        <v>27.698557359999999</v>
      </c>
      <c r="F52" s="301">
        <f>+'Segment EBITDA Detail History'!F136</f>
        <v>72.44814504</v>
      </c>
      <c r="G52" s="301">
        <f>+'Segment EBITDA Detail History'!G136</f>
        <v>10.66105552</v>
      </c>
      <c r="H52" s="300">
        <f>+'Segment EBITDA Detail History'!H136</f>
        <v>0.81668712000000099</v>
      </c>
      <c r="I52" s="300">
        <f>+'Segment EBITDA Detail History'!I136</f>
        <v>7.8153440300000003</v>
      </c>
      <c r="J52" s="300">
        <f>+'Segment EBITDA Detail History'!J136</f>
        <v>117.15363936</v>
      </c>
      <c r="K52" s="301">
        <f>+'Segment EBITDA Detail History'!K136</f>
        <v>136.44672603000001</v>
      </c>
      <c r="L52" s="302">
        <f>+'Segment EBITDA Detail History'!L136</f>
        <v>47.39199945</v>
      </c>
      <c r="M52" s="303">
        <f>+'Segment EBITDA Detail History'!M136</f>
        <v>28.47769452</v>
      </c>
      <c r="N52" s="303">
        <f>+'Segment EBITDA Detail History'!N136</f>
        <v>19.511960980000001</v>
      </c>
      <c r="O52" s="303">
        <f>+'Segment EBITDA Detail History'!O136</f>
        <v>74.7939334</v>
      </c>
      <c r="P52" s="301">
        <f>+'Segment EBITDA Detail History'!P136</f>
        <v>170.17558835</v>
      </c>
      <c r="Q52" s="302">
        <f>+'Segment EBITDA Detail History'!Q136</f>
        <v>8.93486768</v>
      </c>
      <c r="R52" s="196">
        <v>65.5</v>
      </c>
      <c r="S52" s="197">
        <f>+'Segment EBITDA Detail History'!S136</f>
        <v>62.1</v>
      </c>
      <c r="T52" s="197">
        <v>45</v>
      </c>
      <c r="U52" s="301">
        <f>+Q52+R52+S52+T52</f>
        <v>181.53486767999999</v>
      </c>
    </row>
    <row r="53" spans="1:21" s="1" customFormat="1">
      <c r="A53" s="159" t="s">
        <v>7</v>
      </c>
      <c r="B53" s="265">
        <f>+'Segment EBITDA Detail History'!B132</f>
        <v>6.6971904599999998</v>
      </c>
      <c r="C53" s="265">
        <f>+'Segment EBITDA Detail History'!C132</f>
        <v>0.14185017999999999</v>
      </c>
      <c r="D53" s="265">
        <f>+'Segment EBITDA Detail History'!D132</f>
        <v>7.2354124500000001</v>
      </c>
      <c r="E53" s="265">
        <f>+'Segment EBITDA Detail History'!E132</f>
        <v>20.556442420000003</v>
      </c>
      <c r="F53" s="301">
        <f>+'Segment EBITDA Detail History'!F132</f>
        <v>34.630895509999995</v>
      </c>
      <c r="G53" s="301">
        <f>+'Segment EBITDA Detail History'!G132</f>
        <v>0</v>
      </c>
      <c r="H53" s="300">
        <f>+'Segment EBITDA Detail History'!H132</f>
        <v>6.9857551900000008</v>
      </c>
      <c r="I53" s="300">
        <f>+'Segment EBITDA Detail History'!I132</f>
        <v>3.1539097999999997</v>
      </c>
      <c r="J53" s="300">
        <f>+'Segment EBITDA Detail History'!J132</f>
        <v>0.63127465999999999</v>
      </c>
      <c r="K53" s="301">
        <f>+'Segment EBITDA Detail History'!K132</f>
        <v>10.770939650000001</v>
      </c>
      <c r="L53" s="302">
        <f>+'Segment EBITDA Detail History'!L132</f>
        <v>4.8190280699999999</v>
      </c>
      <c r="M53" s="303">
        <f>+'Segment EBITDA Detail History'!M132</f>
        <v>0</v>
      </c>
      <c r="N53" s="303">
        <f>+'Segment EBITDA Detail History'!N132</f>
        <v>11.042806240000001</v>
      </c>
      <c r="O53" s="303">
        <f>+'Segment EBITDA Detail History'!O132</f>
        <v>0</v>
      </c>
      <c r="P53" s="301">
        <f>+'Segment EBITDA Detail History'!P132</f>
        <v>15.851615949999999</v>
      </c>
      <c r="Q53" s="302">
        <v>1.4</v>
      </c>
      <c r="R53" s="196">
        <v>11.3</v>
      </c>
      <c r="S53" s="197">
        <f>+'Segment EBITDA Detail History'!S132</f>
        <v>6.2</v>
      </c>
      <c r="T53" s="197">
        <v>1</v>
      </c>
      <c r="U53" s="301">
        <f>+Q53+R53+S53+T53</f>
        <v>19.900000000000002</v>
      </c>
    </row>
    <row r="54" spans="1:21" s="1" customFormat="1">
      <c r="A54" s="159" t="s">
        <v>197</v>
      </c>
      <c r="B54" s="300"/>
      <c r="C54" s="300"/>
      <c r="D54" s="300"/>
      <c r="E54" s="300"/>
      <c r="F54" s="301"/>
      <c r="G54" s="301"/>
      <c r="H54" s="300"/>
      <c r="I54" s="300"/>
      <c r="J54" s="300"/>
      <c r="K54" s="301"/>
      <c r="L54" s="302"/>
      <c r="M54" s="303"/>
      <c r="N54" s="303"/>
      <c r="O54" s="303"/>
      <c r="P54" s="301"/>
      <c r="Q54" s="302"/>
      <c r="R54" s="196"/>
      <c r="S54" s="197"/>
      <c r="T54" s="197"/>
      <c r="U54" s="301"/>
    </row>
    <row r="55" spans="1:21" s="1" customFormat="1">
      <c r="A55" s="159" t="s">
        <v>198</v>
      </c>
      <c r="B55" s="265">
        <f>-'Segment EBITDA Detail History'!B138</f>
        <v>-0.16908682999999999</v>
      </c>
      <c r="C55" s="265">
        <f>-'Segment EBITDA Detail History'!C138</f>
        <v>7.65155E-2</v>
      </c>
      <c r="D55" s="265">
        <f>-'Segment EBITDA Detail History'!D138</f>
        <v>-1.5975904999999999</v>
      </c>
      <c r="E55" s="265">
        <f>-'Segment EBITDA Detail History'!E138</f>
        <v>2.3293807499999999</v>
      </c>
      <c r="F55" s="301">
        <f>-'Segment EBITDA Detail History'!F138</f>
        <v>0.63921892000000002</v>
      </c>
      <c r="G55" s="301">
        <f>-'Segment EBITDA Detail History'!G138</f>
        <v>1.16610847</v>
      </c>
      <c r="H55" s="300">
        <f>-'Segment EBITDA Detail History'!H138</f>
        <v>-6.5093722699999992</v>
      </c>
      <c r="I55" s="300">
        <f>-'Segment EBITDA Detail History'!I138</f>
        <v>0.18036945000000001</v>
      </c>
      <c r="J55" s="300">
        <f>-'Segment EBITDA Detail History'!J138</f>
        <v>-5.2414340000000795E-2</v>
      </c>
      <c r="K55" s="301">
        <f>-'Segment EBITDA Detail History'!K138</f>
        <v>-5.2153086900000005</v>
      </c>
      <c r="L55" s="302">
        <f>-'Segment EBITDA Detail History'!L138</f>
        <v>8.8062340000000003E-2</v>
      </c>
      <c r="M55" s="303">
        <f>-'Segment EBITDA Detail History'!M138</f>
        <v>0</v>
      </c>
      <c r="N55" s="303">
        <f>-'Segment EBITDA Detail History'!N138</f>
        <v>-4.3547550199999998</v>
      </c>
      <c r="O55" s="303">
        <f>-'Segment EBITDA Detail History'!O138</f>
        <v>-7.3550080000000101E-2</v>
      </c>
      <c r="P55" s="301">
        <f>-'Segment EBITDA Detail History'!P138</f>
        <v>-4.3560565700000007</v>
      </c>
      <c r="Q55" s="302">
        <v>0</v>
      </c>
      <c r="R55" s="196">
        <f>-'Segment EBITDA Detail History'!R138</f>
        <v>0</v>
      </c>
      <c r="S55" s="197">
        <f>-'Segment EBITDA Detail History'!S138</f>
        <v>0</v>
      </c>
      <c r="T55" s="197">
        <v>0.1</v>
      </c>
      <c r="U55" s="484">
        <v>0.1</v>
      </c>
    </row>
    <row r="56" spans="1:21">
      <c r="A56" s="159" t="s">
        <v>225</v>
      </c>
      <c r="B56" s="304">
        <v>32</v>
      </c>
      <c r="C56" s="304">
        <v>14.2</v>
      </c>
      <c r="D56" s="304">
        <v>51.8</v>
      </c>
      <c r="E56" s="304">
        <v>74.900000000000006</v>
      </c>
      <c r="F56" s="301">
        <f>+B56+C56+D56+E56</f>
        <v>172.9</v>
      </c>
      <c r="G56" s="301">
        <v>24.1</v>
      </c>
      <c r="H56" s="304">
        <v>15.7</v>
      </c>
      <c r="I56" s="304">
        <v>29.8</v>
      </c>
      <c r="J56" s="304">
        <v>138.1</v>
      </c>
      <c r="K56" s="301">
        <f>+G56+H56+I56+J56</f>
        <v>207.7</v>
      </c>
      <c r="L56" s="302">
        <v>69.099999999999994</v>
      </c>
      <c r="M56" s="305">
        <v>46.4</v>
      </c>
      <c r="N56" s="305">
        <v>42.7</v>
      </c>
      <c r="O56" s="305">
        <v>95</v>
      </c>
      <c r="P56" s="301">
        <f>+L56+M56+N56+O56</f>
        <v>253.2</v>
      </c>
      <c r="Q56" s="302">
        <v>23.9</v>
      </c>
      <c r="R56" s="305">
        <f>+R50+R52+R53-R55</f>
        <v>93.899999999999991</v>
      </c>
      <c r="S56" s="197">
        <v>82.8</v>
      </c>
      <c r="T56" s="197">
        <f>+T50+T52+T53-T55</f>
        <v>78.2</v>
      </c>
      <c r="U56" s="301">
        <f>+U50+U52+U53-U55</f>
        <v>278.93486767999991</v>
      </c>
    </row>
    <row r="57" spans="1:21">
      <c r="A57" s="464"/>
      <c r="B57" s="76"/>
      <c r="C57" s="76"/>
      <c r="D57" s="76"/>
      <c r="E57" s="76"/>
      <c r="F57" s="160"/>
      <c r="G57" s="160"/>
      <c r="H57" s="76"/>
      <c r="I57" s="76"/>
      <c r="J57" s="76"/>
      <c r="K57" s="160"/>
      <c r="L57" s="279"/>
      <c r="M57" s="280"/>
      <c r="N57" s="280"/>
      <c r="O57" s="280"/>
      <c r="P57" s="279"/>
      <c r="Q57" s="279"/>
      <c r="R57" s="306"/>
      <c r="S57" s="280"/>
      <c r="T57" s="280"/>
      <c r="U57" s="279"/>
    </row>
    <row r="58" spans="1:21">
      <c r="A58" s="464" t="s">
        <v>117</v>
      </c>
      <c r="B58" s="74"/>
      <c r="C58" s="74"/>
      <c r="D58" s="74"/>
      <c r="E58" s="74"/>
      <c r="F58" s="160"/>
      <c r="G58" s="160"/>
      <c r="H58" s="74"/>
      <c r="I58" s="74"/>
      <c r="J58" s="74"/>
      <c r="K58" s="160"/>
      <c r="L58" s="279"/>
      <c r="M58" s="281"/>
      <c r="N58" s="281"/>
      <c r="O58" s="281"/>
      <c r="P58" s="279"/>
      <c r="Q58" s="279"/>
      <c r="R58" s="346"/>
      <c r="S58" s="281"/>
      <c r="T58" s="281"/>
      <c r="U58" s="279"/>
    </row>
    <row r="59" spans="1:21" s="421" customFormat="1">
      <c r="A59" s="415" t="s">
        <v>234</v>
      </c>
      <c r="B59" s="436"/>
      <c r="C59" s="436"/>
      <c r="D59" s="436"/>
      <c r="E59" s="436"/>
      <c r="F59" s="418"/>
      <c r="G59" s="418"/>
      <c r="H59" s="417"/>
      <c r="I59" s="417"/>
      <c r="J59" s="417"/>
      <c r="K59" s="418"/>
      <c r="L59" s="419"/>
      <c r="M59" s="420"/>
      <c r="N59" s="420"/>
      <c r="O59" s="420"/>
      <c r="P59" s="419"/>
      <c r="Q59" s="419"/>
      <c r="R59" s="437"/>
      <c r="S59" s="420"/>
      <c r="T59" s="420"/>
      <c r="U59" s="419"/>
    </row>
    <row r="60" spans="1:21">
      <c r="A60" s="159" t="s">
        <v>184</v>
      </c>
      <c r="B60" s="76"/>
      <c r="C60" s="76"/>
      <c r="D60" s="76"/>
      <c r="E60" s="76"/>
      <c r="F60" s="160"/>
      <c r="G60" s="307">
        <v>0.11693228023164481</v>
      </c>
      <c r="H60" s="308">
        <v>7.6143795958551808E-2</v>
      </c>
      <c r="I60" s="308">
        <v>0.45748321948996584</v>
      </c>
      <c r="J60" s="308">
        <v>1.0910204055178601</v>
      </c>
      <c r="K60" s="307">
        <v>0.47205010618036103</v>
      </c>
      <c r="L60" s="309">
        <v>1.3337600618634911</v>
      </c>
      <c r="M60" s="310">
        <v>1.2656144935927647</v>
      </c>
      <c r="N60" s="310">
        <v>0.59170706421332819</v>
      </c>
      <c r="O60" s="310">
        <v>7.663400664386355E-2</v>
      </c>
      <c r="P60" s="309">
        <v>0.62302350808330065</v>
      </c>
      <c r="Q60" s="309">
        <v>9.8986050752107202E-2</v>
      </c>
      <c r="R60" s="310">
        <v>0.14631163849795303</v>
      </c>
      <c r="S60" s="311">
        <v>0.158</v>
      </c>
      <c r="T60" s="311">
        <v>0.29199999999999998</v>
      </c>
      <c r="U60" s="309">
        <v>0.17799999999999999</v>
      </c>
    </row>
    <row r="61" spans="1:21">
      <c r="A61" s="159" t="s">
        <v>185</v>
      </c>
      <c r="B61" s="76"/>
      <c r="C61" s="76"/>
      <c r="D61" s="76"/>
      <c r="E61" s="76"/>
      <c r="F61" s="160"/>
      <c r="G61" s="307">
        <v>0.13695694323220242</v>
      </c>
      <c r="H61" s="308">
        <v>0.189843787939737</v>
      </c>
      <c r="I61" s="308">
        <v>0.14411467189298732</v>
      </c>
      <c r="J61" s="308">
        <v>0.13623608148045485</v>
      </c>
      <c r="K61" s="307">
        <v>0.15141441689336177</v>
      </c>
      <c r="L61" s="309">
        <v>3.2144792609746675E-2</v>
      </c>
      <c r="M61" s="310">
        <v>6.7184316779845821E-2</v>
      </c>
      <c r="N61" s="310">
        <v>-4.4251546242913831E-3</v>
      </c>
      <c r="O61" s="310">
        <v>1.6694564801464251E-2</v>
      </c>
      <c r="P61" s="309">
        <v>2.7829674010187544E-2</v>
      </c>
      <c r="Q61" s="309">
        <v>3.0846224479312401E-2</v>
      </c>
      <c r="R61" s="310">
        <v>-2.1927200691787663E-2</v>
      </c>
      <c r="S61" s="312">
        <v>5.8999999999999997E-2</v>
      </c>
      <c r="T61" s="312">
        <v>0.114</v>
      </c>
      <c r="U61" s="309">
        <v>4.4999999999999998E-2</v>
      </c>
    </row>
    <row r="62" spans="1:21">
      <c r="A62" s="159" t="s">
        <v>31</v>
      </c>
      <c r="B62" s="76"/>
      <c r="C62" s="76"/>
      <c r="D62" s="76"/>
      <c r="E62" s="76"/>
      <c r="F62" s="160"/>
      <c r="G62" s="307">
        <v>0.36405225401005636</v>
      </c>
      <c r="H62" s="308">
        <v>0.5272054077330004</v>
      </c>
      <c r="I62" s="308">
        <v>0.27405892760400907</v>
      </c>
      <c r="J62" s="308">
        <v>0.21615710506958852</v>
      </c>
      <c r="K62" s="307">
        <v>0.33183746298724937</v>
      </c>
      <c r="L62" s="309">
        <v>0.11907891666307102</v>
      </c>
      <c r="M62" s="310">
        <v>-2.5835863194202169E-2</v>
      </c>
      <c r="N62" s="310">
        <v>2.289609479436705E-2</v>
      </c>
      <c r="O62" s="310">
        <v>2.6414912293573289E-2</v>
      </c>
      <c r="P62" s="309">
        <v>3.2024091965708434E-2</v>
      </c>
      <c r="Q62" s="309">
        <v>9.1740997746585506E-3</v>
      </c>
      <c r="R62" s="310">
        <v>3.7153176607129801E-2</v>
      </c>
      <c r="S62" s="312">
        <v>-5.2999999999999999E-2</v>
      </c>
      <c r="T62" s="312">
        <v>4.0000000000000001E-3</v>
      </c>
      <c r="U62" s="309">
        <v>-1E-3</v>
      </c>
    </row>
    <row r="63" spans="1:21">
      <c r="A63" s="159" t="s">
        <v>186</v>
      </c>
      <c r="B63" s="76"/>
      <c r="C63" s="76"/>
      <c r="D63" s="76"/>
      <c r="E63" s="76"/>
      <c r="F63" s="160"/>
      <c r="G63" s="307">
        <f t="shared" ref="G63:S63" si="41">+G76</f>
        <v>0.21794871794871806</v>
      </c>
      <c r="H63" s="308">
        <f t="shared" si="41"/>
        <v>0.26315789473684204</v>
      </c>
      <c r="I63" s="308">
        <f t="shared" si="41"/>
        <v>0.37853107344632764</v>
      </c>
      <c r="J63" s="308">
        <f t="shared" si="41"/>
        <v>5.7142857142857162E-2</v>
      </c>
      <c r="K63" s="307">
        <f t="shared" si="41"/>
        <v>0.22128851540616234</v>
      </c>
      <c r="L63" s="307">
        <f t="shared" si="41"/>
        <v>0.41052631578947363</v>
      </c>
      <c r="M63" s="308">
        <f t="shared" si="41"/>
        <v>0.2129629629629628</v>
      </c>
      <c r="N63" s="308">
        <f t="shared" si="41"/>
        <v>0.1598360655737705</v>
      </c>
      <c r="O63" s="308">
        <f t="shared" si="41"/>
        <v>0.355855855855856</v>
      </c>
      <c r="P63" s="307">
        <f t="shared" si="41"/>
        <v>0.27752293577981657</v>
      </c>
      <c r="Q63" s="307">
        <f t="shared" si="41"/>
        <v>0.25</v>
      </c>
      <c r="R63" s="308">
        <f t="shared" si="41"/>
        <v>0.41984732824427495</v>
      </c>
      <c r="S63" s="308">
        <f t="shared" si="41"/>
        <v>0.27100000000000002</v>
      </c>
      <c r="T63" s="308">
        <v>0.32100000000000001</v>
      </c>
      <c r="U63" s="307">
        <v>0.315</v>
      </c>
    </row>
    <row r="64" spans="1:21">
      <c r="A64" s="159" t="s">
        <v>28</v>
      </c>
      <c r="B64" s="76"/>
      <c r="C64" s="76"/>
      <c r="D64" s="76"/>
      <c r="E64" s="76"/>
      <c r="F64" s="160"/>
      <c r="G64" s="307">
        <v>0.19267111350792976</v>
      </c>
      <c r="H64" s="308">
        <v>0.11493016202663497</v>
      </c>
      <c r="I64" s="308">
        <v>8.2796449261002714E-2</v>
      </c>
      <c r="J64" s="308">
        <v>5.3316917924035589E-2</v>
      </c>
      <c r="K64" s="307">
        <v>9.8615985579268761E-2</v>
      </c>
      <c r="L64" s="309">
        <v>0.19558205792376993</v>
      </c>
      <c r="M64" s="310">
        <v>8.1691324916183028E-2</v>
      </c>
      <c r="N64" s="310">
        <v>1.4337410454446919E-2</v>
      </c>
      <c r="O64" s="310">
        <v>3.2112155806705234E-2</v>
      </c>
      <c r="P64" s="309">
        <v>6.9624966806792088E-2</v>
      </c>
      <c r="Q64" s="309">
        <v>1.688271210075043E-2</v>
      </c>
      <c r="R64" s="310">
        <v>-5.5295746304498183E-2</v>
      </c>
      <c r="S64" s="312">
        <v>0.13500000000000001</v>
      </c>
      <c r="T64" s="312">
        <v>0.122</v>
      </c>
      <c r="U64" s="309">
        <v>0.06</v>
      </c>
    </row>
    <row r="65" spans="1:21">
      <c r="A65" s="159" t="s">
        <v>27</v>
      </c>
      <c r="B65" s="76"/>
      <c r="C65" s="76"/>
      <c r="D65" s="76"/>
      <c r="E65" s="76"/>
      <c r="F65" s="160"/>
      <c r="G65" s="307">
        <v>0.32000720968761165</v>
      </c>
      <c r="H65" s="308">
        <v>0.24846925698634381</v>
      </c>
      <c r="I65" s="308">
        <v>0.1648132948759804</v>
      </c>
      <c r="J65" s="308">
        <v>0.10314919144593948</v>
      </c>
      <c r="K65" s="307">
        <v>0.19002528338967828</v>
      </c>
      <c r="L65" s="309">
        <v>7.463617255776267E-2</v>
      </c>
      <c r="M65" s="310">
        <v>1.5789634550667397E-2</v>
      </c>
      <c r="N65" s="310">
        <v>-5.7071563440683093E-2</v>
      </c>
      <c r="O65" s="310">
        <v>2.5831068845369565E-2</v>
      </c>
      <c r="P65" s="309">
        <v>1.0865678568479975E-2</v>
      </c>
      <c r="Q65" s="309">
        <v>5.5825551341868174E-2</v>
      </c>
      <c r="R65" s="310">
        <v>-1.2412293097428195E-2</v>
      </c>
      <c r="S65" s="312">
        <v>6.7000000000000004E-2</v>
      </c>
      <c r="T65" s="312">
        <v>-8.1000000000000003E-2</v>
      </c>
      <c r="U65" s="309">
        <v>0</v>
      </c>
    </row>
    <row r="66" spans="1:21">
      <c r="A66" s="159" t="s">
        <v>187</v>
      </c>
      <c r="B66" s="76"/>
      <c r="C66" s="76"/>
      <c r="D66" s="76"/>
      <c r="E66" s="76"/>
      <c r="F66" s="160"/>
      <c r="G66" s="307">
        <v>0.48996623974304621</v>
      </c>
      <c r="H66" s="308">
        <v>0.49352961980150645</v>
      </c>
      <c r="I66" s="308">
        <v>0.31028171508910973</v>
      </c>
      <c r="J66" s="308">
        <v>6.9414167308923469E-2</v>
      </c>
      <c r="K66" s="307">
        <v>0.30031453641251549</v>
      </c>
      <c r="L66" s="309">
        <v>-6.9771056774046714E-2</v>
      </c>
      <c r="M66" s="310">
        <v>0.13324955299288077</v>
      </c>
      <c r="N66" s="310">
        <v>0.2553184218964013</v>
      </c>
      <c r="O66" s="310">
        <v>0.36555727127905979</v>
      </c>
      <c r="P66" s="309">
        <v>0.18582610603305283</v>
      </c>
      <c r="Q66" s="309">
        <v>8.0363438420453459E-2</v>
      </c>
      <c r="R66" s="310">
        <v>7.3629927514495819E-4</v>
      </c>
      <c r="S66" s="312">
        <v>-0.11799999999999999</v>
      </c>
      <c r="T66" s="312">
        <v>5.3999999999999999E-2</v>
      </c>
      <c r="U66" s="309">
        <v>0</v>
      </c>
    </row>
    <row r="67" spans="1:21" s="19" customFormat="1">
      <c r="A67" s="217" t="s">
        <v>29</v>
      </c>
      <c r="B67" s="161"/>
      <c r="C67" s="161"/>
      <c r="D67" s="161"/>
      <c r="E67" s="161"/>
      <c r="F67" s="185"/>
      <c r="G67" s="313">
        <v>-0.24205099070037239</v>
      </c>
      <c r="H67" s="314">
        <v>0.32300805083886197</v>
      </c>
      <c r="I67" s="314">
        <v>0.58819185222521875</v>
      </c>
      <c r="J67" s="314">
        <v>0.11123748661254984</v>
      </c>
      <c r="K67" s="313">
        <v>0.13652430130583637</v>
      </c>
      <c r="L67" s="315">
        <v>0.41590686571392066</v>
      </c>
      <c r="M67" s="316">
        <v>0.1633016108469143</v>
      </c>
      <c r="N67" s="316">
        <v>6.895075715679666E-2</v>
      </c>
      <c r="O67" s="316">
        <v>0.15483471649904113</v>
      </c>
      <c r="P67" s="315">
        <v>0.18749503957961045</v>
      </c>
      <c r="Q67" s="315">
        <v>4.8553102346152288E-2</v>
      </c>
      <c r="R67" s="316">
        <v>-2.7701091283654611E-2</v>
      </c>
      <c r="S67" s="86">
        <v>0.20200000000000001</v>
      </c>
      <c r="T67" s="86">
        <v>-0.313</v>
      </c>
      <c r="U67" s="315">
        <v>-3.7999999999999999E-2</v>
      </c>
    </row>
    <row r="68" spans="1:21">
      <c r="A68" s="219" t="s">
        <v>188</v>
      </c>
      <c r="B68" s="76"/>
      <c r="C68" s="76"/>
      <c r="D68" s="76"/>
      <c r="E68" s="76"/>
      <c r="F68" s="160"/>
      <c r="G68" s="317">
        <v>0.23356634053254521</v>
      </c>
      <c r="H68" s="318">
        <v>0.19556665570570031</v>
      </c>
      <c r="I68" s="318">
        <v>0.18349166789889804</v>
      </c>
      <c r="J68" s="318">
        <v>0.17512576335717012</v>
      </c>
      <c r="K68" s="317">
        <v>0.19278603170412234</v>
      </c>
      <c r="L68" s="319">
        <v>0.2588206436157825</v>
      </c>
      <c r="M68" s="320">
        <v>0.18181132809608669</v>
      </c>
      <c r="N68" s="320">
        <v>9.4902073906416806E-2</v>
      </c>
      <c r="O68" s="320">
        <v>6.7336945030278539E-2</v>
      </c>
      <c r="P68" s="319">
        <v>0.13782396572504352</v>
      </c>
      <c r="Q68" s="319">
        <v>5.3178165776551545E-2</v>
      </c>
      <c r="R68" s="320">
        <v>1.2667969406811475E-2</v>
      </c>
      <c r="S68" s="321">
        <v>0.09</v>
      </c>
      <c r="T68" s="321">
        <v>9.2999999999999999E-2</v>
      </c>
      <c r="U68" s="319">
        <v>6.4000000000000001E-2</v>
      </c>
    </row>
    <row r="69" spans="1:21">
      <c r="A69" s="159" t="s">
        <v>49</v>
      </c>
      <c r="B69" s="76"/>
      <c r="C69" s="76"/>
      <c r="D69" s="76"/>
      <c r="E69" s="76"/>
      <c r="F69" s="160"/>
      <c r="G69" s="322"/>
      <c r="H69" s="323"/>
      <c r="I69" s="323"/>
      <c r="J69" s="323"/>
      <c r="K69" s="322"/>
      <c r="L69" s="324"/>
      <c r="M69" s="325"/>
      <c r="N69" s="325"/>
      <c r="O69" s="325"/>
      <c r="P69" s="324"/>
      <c r="Q69" s="324"/>
      <c r="R69" s="326"/>
      <c r="S69" s="325"/>
      <c r="T69" s="325"/>
      <c r="U69" s="324"/>
    </row>
    <row r="70" spans="1:21">
      <c r="A70" s="159" t="s">
        <v>152</v>
      </c>
      <c r="B70" s="76"/>
      <c r="C70" s="76"/>
      <c r="D70" s="76"/>
      <c r="E70" s="76"/>
      <c r="F70" s="160"/>
      <c r="G70" s="322"/>
      <c r="H70" s="323"/>
      <c r="I70" s="323"/>
      <c r="J70" s="323"/>
      <c r="K70" s="322"/>
      <c r="L70" s="324"/>
      <c r="M70" s="325"/>
      <c r="N70" s="325"/>
      <c r="O70" s="325"/>
      <c r="P70" s="324"/>
      <c r="Q70" s="324"/>
      <c r="R70" s="326"/>
      <c r="S70" s="325"/>
      <c r="T70" s="325"/>
      <c r="U70" s="324"/>
    </row>
    <row r="71" spans="1:21">
      <c r="A71" s="159"/>
      <c r="B71" s="76"/>
      <c r="C71" s="76"/>
      <c r="D71" s="76"/>
      <c r="E71" s="76"/>
      <c r="F71" s="160"/>
      <c r="G71" s="322"/>
      <c r="H71" s="323"/>
      <c r="I71" s="323"/>
      <c r="J71" s="323"/>
      <c r="K71" s="322"/>
      <c r="L71" s="324"/>
      <c r="M71" s="325"/>
      <c r="N71" s="325"/>
      <c r="O71" s="325"/>
      <c r="P71" s="324"/>
      <c r="Q71" s="324"/>
      <c r="R71" s="326"/>
      <c r="S71" s="325"/>
      <c r="T71" s="325"/>
      <c r="U71" s="324"/>
    </row>
    <row r="72" spans="1:21" s="421" customFormat="1">
      <c r="A72" s="415" t="s">
        <v>235</v>
      </c>
      <c r="B72" s="416"/>
      <c r="C72" s="417"/>
      <c r="D72" s="417"/>
      <c r="E72" s="417"/>
      <c r="F72" s="418"/>
      <c r="G72" s="438"/>
      <c r="H72" s="439"/>
      <c r="I72" s="439"/>
      <c r="J72" s="439"/>
      <c r="K72" s="438"/>
      <c r="L72" s="440"/>
      <c r="M72" s="441"/>
      <c r="N72" s="441"/>
      <c r="O72" s="441"/>
      <c r="P72" s="440"/>
      <c r="Q72" s="440"/>
      <c r="R72" s="441"/>
      <c r="S72" s="441"/>
      <c r="T72" s="441"/>
      <c r="U72" s="440"/>
    </row>
    <row r="73" spans="1:21">
      <c r="A73" s="159" t="s">
        <v>184</v>
      </c>
      <c r="B73" s="327"/>
      <c r="C73" s="327"/>
      <c r="D73" s="327"/>
      <c r="E73" s="327"/>
      <c r="F73" s="328"/>
      <c r="G73" s="307">
        <f t="shared" ref="G73:G81" si="42">+G5/B5-1</f>
        <v>9.4104308390022595E-2</v>
      </c>
      <c r="H73" s="308">
        <f t="shared" ref="H73:H81" si="43">+H5/C5-1</f>
        <v>5.1567239635995854E-2</v>
      </c>
      <c r="I73" s="308">
        <f t="shared" ref="I73:I81" si="44">+I5/D5-1</f>
        <v>0.4225216554379212</v>
      </c>
      <c r="J73" s="308">
        <f t="shared" ref="J73:J81" si="45">+J5/E5-1</f>
        <v>1.0584694754944111</v>
      </c>
      <c r="K73" s="307">
        <f t="shared" ref="K73:K81" si="46">+K5/F5-1</f>
        <v>0.44291676896636401</v>
      </c>
      <c r="L73" s="309">
        <f t="shared" ref="L73:L81" si="47">+L5/G5-1</f>
        <v>1.3036269430051814</v>
      </c>
      <c r="M73" s="310">
        <f t="shared" ref="M73:M81" si="48">+M5/H5-1</f>
        <v>1.2538461538461538</v>
      </c>
      <c r="N73" s="310">
        <f t="shared" ref="N73:N81" si="49">+N5/I5-1</f>
        <v>0.58660351826792945</v>
      </c>
      <c r="O73" s="310">
        <f t="shared" ref="O73:O81" si="50">+O5/J5-1</f>
        <v>7.3934837092731964E-2</v>
      </c>
      <c r="P73" s="309">
        <f t="shared" ref="P73:P81" si="51">+P5/K5-1</f>
        <v>0.61357835630423674</v>
      </c>
      <c r="Q73" s="309">
        <f t="shared" ref="Q73:Q81" si="52">+Q5/L5-1</f>
        <v>0.10076473234367955</v>
      </c>
      <c r="R73" s="310">
        <f t="shared" ref="R73:U81" si="53">+R5/M5-1</f>
        <v>0.14419795221843001</v>
      </c>
      <c r="S73" s="312">
        <v>0.16</v>
      </c>
      <c r="T73" s="310">
        <f t="shared" si="53"/>
        <v>0.27849085958770892</v>
      </c>
      <c r="U73" s="309">
        <f t="shared" si="53"/>
        <v>0.17441737846673</v>
      </c>
    </row>
    <row r="74" spans="1:21">
      <c r="A74" s="159" t="s">
        <v>185</v>
      </c>
      <c r="B74" s="327"/>
      <c r="C74" s="327"/>
      <c r="D74" s="327"/>
      <c r="E74" s="327"/>
      <c r="F74" s="328"/>
      <c r="G74" s="307">
        <f t="shared" si="42"/>
        <v>0.12762237762237749</v>
      </c>
      <c r="H74" s="308">
        <f t="shared" si="43"/>
        <v>0.17844522968197873</v>
      </c>
      <c r="I74" s="308">
        <f t="shared" si="44"/>
        <v>0.12903225806451624</v>
      </c>
      <c r="J74" s="308">
        <f t="shared" si="45"/>
        <v>0.12231404958677694</v>
      </c>
      <c r="K74" s="307">
        <f t="shared" si="46"/>
        <v>0.13893653516295035</v>
      </c>
      <c r="L74" s="309">
        <f t="shared" si="47"/>
        <v>2.0155038759689825E-2</v>
      </c>
      <c r="M74" s="310">
        <f t="shared" si="48"/>
        <v>6.1469265367316339E-2</v>
      </c>
      <c r="N74" s="310">
        <f t="shared" si="49"/>
        <v>-4.5112781954886882E-3</v>
      </c>
      <c r="O74" s="310">
        <f t="shared" si="50"/>
        <v>1.9145802650957222E-2</v>
      </c>
      <c r="P74" s="309">
        <f t="shared" si="51"/>
        <v>2.409638554216853E-2</v>
      </c>
      <c r="Q74" s="309">
        <f t="shared" si="52"/>
        <v>3.4954407294832679E-2</v>
      </c>
      <c r="R74" s="310">
        <f t="shared" si="53"/>
        <v>-2.1186440677966156E-2</v>
      </c>
      <c r="S74" s="312">
        <v>0.06</v>
      </c>
      <c r="T74" s="310">
        <f t="shared" si="53"/>
        <v>0.11705202312138718</v>
      </c>
      <c r="U74" s="309">
        <f t="shared" si="53"/>
        <v>4.7426470588235237E-2</v>
      </c>
    </row>
    <row r="75" spans="1:21">
      <c r="A75" s="159" t="s">
        <v>31</v>
      </c>
      <c r="B75" s="327"/>
      <c r="C75" s="327"/>
      <c r="D75" s="327"/>
      <c r="E75" s="327"/>
      <c r="F75" s="328"/>
      <c r="G75" s="307">
        <f t="shared" si="42"/>
        <v>0.35263157894736841</v>
      </c>
      <c r="H75" s="308">
        <f t="shared" si="43"/>
        <v>0.51358024691358017</v>
      </c>
      <c r="I75" s="308">
        <f t="shared" si="44"/>
        <v>0.25</v>
      </c>
      <c r="J75" s="308">
        <f t="shared" si="45"/>
        <v>0.19378427787934172</v>
      </c>
      <c r="K75" s="307">
        <f t="shared" si="46"/>
        <v>0.31318681318681318</v>
      </c>
      <c r="L75" s="309">
        <f t="shared" si="47"/>
        <v>0.10505836575875493</v>
      </c>
      <c r="M75" s="310">
        <f t="shared" si="48"/>
        <v>-2.9363784665579096E-2</v>
      </c>
      <c r="N75" s="310">
        <f t="shared" si="49"/>
        <v>1.9672131147540961E-2</v>
      </c>
      <c r="O75" s="310">
        <f t="shared" si="50"/>
        <v>2.4502297090352343E-2</v>
      </c>
      <c r="P75" s="309">
        <f t="shared" si="51"/>
        <v>2.6778242677824249E-2</v>
      </c>
      <c r="Q75" s="309">
        <f t="shared" si="52"/>
        <v>7.0422535211267512E-3</v>
      </c>
      <c r="R75" s="310">
        <f t="shared" si="53"/>
        <v>3.529411764705892E-2</v>
      </c>
      <c r="S75" s="312">
        <v>-5.0999999999999997E-2</v>
      </c>
      <c r="T75" s="310">
        <f t="shared" si="53"/>
        <v>7.4738415545589909E-3</v>
      </c>
      <c r="U75" s="309">
        <f t="shared" si="53"/>
        <v>-8.1499592502032314E-4</v>
      </c>
    </row>
    <row r="76" spans="1:21">
      <c r="A76" s="159" t="s">
        <v>186</v>
      </c>
      <c r="B76" s="327"/>
      <c r="C76" s="327"/>
      <c r="D76" s="327"/>
      <c r="E76" s="327"/>
      <c r="F76" s="328"/>
      <c r="G76" s="307">
        <f t="shared" si="42"/>
        <v>0.21794871794871806</v>
      </c>
      <c r="H76" s="308">
        <f t="shared" si="43"/>
        <v>0.26315789473684204</v>
      </c>
      <c r="I76" s="308">
        <f t="shared" si="44"/>
        <v>0.37853107344632764</v>
      </c>
      <c r="J76" s="308">
        <f t="shared" si="45"/>
        <v>5.7142857142857162E-2</v>
      </c>
      <c r="K76" s="307">
        <f t="shared" si="46"/>
        <v>0.22128851540616234</v>
      </c>
      <c r="L76" s="309">
        <f t="shared" si="47"/>
        <v>0.41052631578947363</v>
      </c>
      <c r="M76" s="310">
        <f t="shared" si="48"/>
        <v>0.2129629629629628</v>
      </c>
      <c r="N76" s="310">
        <f t="shared" si="49"/>
        <v>0.1598360655737705</v>
      </c>
      <c r="O76" s="310">
        <f t="shared" si="50"/>
        <v>0.355855855855856</v>
      </c>
      <c r="P76" s="309">
        <f t="shared" si="51"/>
        <v>0.27752293577981657</v>
      </c>
      <c r="Q76" s="309">
        <f t="shared" si="52"/>
        <v>0.25</v>
      </c>
      <c r="R76" s="310">
        <f t="shared" si="53"/>
        <v>0.41984732824427495</v>
      </c>
      <c r="S76" s="312">
        <v>0.27100000000000002</v>
      </c>
      <c r="T76" s="310">
        <f t="shared" si="53"/>
        <v>0.31893687707641205</v>
      </c>
      <c r="U76" s="309">
        <f t="shared" si="53"/>
        <v>0.31418312387791736</v>
      </c>
    </row>
    <row r="77" spans="1:21">
      <c r="A77" s="159" t="s">
        <v>28</v>
      </c>
      <c r="B77" s="327"/>
      <c r="C77" s="327"/>
      <c r="D77" s="327"/>
      <c r="E77" s="327"/>
      <c r="F77" s="328"/>
      <c r="G77" s="307">
        <f t="shared" si="42"/>
        <v>0.18217750628817808</v>
      </c>
      <c r="H77" s="308">
        <f t="shared" si="43"/>
        <v>9.9310004928536255E-2</v>
      </c>
      <c r="I77" s="308">
        <f t="shared" si="44"/>
        <v>6.4891041162227658E-2</v>
      </c>
      <c r="J77" s="308">
        <f t="shared" si="45"/>
        <v>3.466712659537774E-2</v>
      </c>
      <c r="K77" s="307">
        <f t="shared" si="46"/>
        <v>8.223507662949503E-2</v>
      </c>
      <c r="L77" s="309">
        <f t="shared" si="47"/>
        <v>0.18449848024316107</v>
      </c>
      <c r="M77" s="310">
        <f t="shared" si="48"/>
        <v>7.6440260031382934E-2</v>
      </c>
      <c r="N77" s="310">
        <f t="shared" si="49"/>
        <v>1.2050932241928214E-2</v>
      </c>
      <c r="O77" s="310">
        <f t="shared" si="50"/>
        <v>3.2005334222370507E-2</v>
      </c>
      <c r="P77" s="309">
        <f t="shared" si="51"/>
        <v>6.5737271324663782E-2</v>
      </c>
      <c r="Q77" s="309">
        <f t="shared" si="52"/>
        <v>2.0272004105722496E-2</v>
      </c>
      <c r="R77" s="310">
        <f t="shared" si="53"/>
        <v>-5.6851311953352801E-2</v>
      </c>
      <c r="S77" s="312">
        <v>0.13700000000000001</v>
      </c>
      <c r="T77" s="310">
        <f t="shared" si="53"/>
        <v>0.12485866580520111</v>
      </c>
      <c r="U77" s="309">
        <f t="shared" si="53"/>
        <v>6.1372214466677066E-2</v>
      </c>
    </row>
    <row r="78" spans="1:21">
      <c r="A78" s="159" t="s">
        <v>27</v>
      </c>
      <c r="B78" s="327"/>
      <c r="C78" s="327"/>
      <c r="D78" s="327"/>
      <c r="E78" s="327"/>
      <c r="F78" s="328"/>
      <c r="G78" s="307">
        <f t="shared" si="42"/>
        <v>0.30798240100565688</v>
      </c>
      <c r="H78" s="308">
        <f t="shared" si="43"/>
        <v>0.23285114325711609</v>
      </c>
      <c r="I78" s="308">
        <f t="shared" si="44"/>
        <v>0.14280047600158685</v>
      </c>
      <c r="J78" s="308">
        <f t="shared" si="45"/>
        <v>8.1553398058252347E-2</v>
      </c>
      <c r="K78" s="307">
        <f t="shared" si="46"/>
        <v>0.17132156233279816</v>
      </c>
      <c r="L78" s="309">
        <f t="shared" si="47"/>
        <v>6.3911580970687165E-2</v>
      </c>
      <c r="M78" s="310">
        <f t="shared" si="48"/>
        <v>7.570022710068125E-3</v>
      </c>
      <c r="N78" s="310">
        <f t="shared" si="49"/>
        <v>-5.8313085734120085E-2</v>
      </c>
      <c r="O78" s="310">
        <f t="shared" si="50"/>
        <v>2.7827648114901349E-2</v>
      </c>
      <c r="P78" s="309">
        <f t="shared" si="51"/>
        <v>7.1258907363422885E-3</v>
      </c>
      <c r="Q78" s="309">
        <f t="shared" si="52"/>
        <v>5.8717253839205119E-2</v>
      </c>
      <c r="R78" s="310">
        <f t="shared" si="53"/>
        <v>-1.5777610818933141E-2</v>
      </c>
      <c r="S78" s="312">
        <v>7.0999999999999994E-2</v>
      </c>
      <c r="T78" s="310">
        <f t="shared" si="53"/>
        <v>-7.5400291120815033E-2</v>
      </c>
      <c r="U78" s="309">
        <f t="shared" si="53"/>
        <v>2.0863570391869146E-3</v>
      </c>
    </row>
    <row r="79" spans="1:21">
      <c r="A79" s="159" t="s">
        <v>187</v>
      </c>
      <c r="B79" s="327"/>
      <c r="C79" s="327"/>
      <c r="D79" s="327"/>
      <c r="E79" s="327"/>
      <c r="F79" s="328"/>
      <c r="G79" s="307">
        <f t="shared" si="42"/>
        <v>0.49090909090909096</v>
      </c>
      <c r="H79" s="308">
        <f t="shared" si="43"/>
        <v>0.49251247920133112</v>
      </c>
      <c r="I79" s="308">
        <f t="shared" si="44"/>
        <v>0.31029810298102989</v>
      </c>
      <c r="J79" s="308">
        <f t="shared" si="45"/>
        <v>6.8895643363728443E-2</v>
      </c>
      <c r="K79" s="307">
        <f t="shared" si="46"/>
        <v>0.30006954102920735</v>
      </c>
      <c r="L79" s="309">
        <f t="shared" si="47"/>
        <v>-7.0731707317073123E-2</v>
      </c>
      <c r="M79" s="310">
        <f t="shared" si="48"/>
        <v>0.13266443701226294</v>
      </c>
      <c r="N79" s="310">
        <f t="shared" si="49"/>
        <v>0.25439503619441561</v>
      </c>
      <c r="O79" s="310">
        <f t="shared" si="50"/>
        <v>0.36492890995260674</v>
      </c>
      <c r="P79" s="309">
        <f t="shared" si="51"/>
        <v>0.18507622358919518</v>
      </c>
      <c r="Q79" s="309">
        <f t="shared" si="52"/>
        <v>8.1364829396325389E-2</v>
      </c>
      <c r="R79" s="310">
        <f t="shared" si="53"/>
        <v>0</v>
      </c>
      <c r="S79" s="312">
        <v>-0.11700000000000001</v>
      </c>
      <c r="T79" s="310">
        <f t="shared" si="53"/>
        <v>5.4861111111111249E-2</v>
      </c>
      <c r="U79" s="309">
        <f t="shared" si="53"/>
        <v>-2.2568269013767406E-4</v>
      </c>
    </row>
    <row r="80" spans="1:21" s="19" customFormat="1">
      <c r="A80" s="217" t="s">
        <v>29</v>
      </c>
      <c r="B80" s="329"/>
      <c r="C80" s="329"/>
      <c r="D80" s="329"/>
      <c r="E80" s="329"/>
      <c r="F80" s="330"/>
      <c r="G80" s="313">
        <f t="shared" si="42"/>
        <v>-0.25438596491228072</v>
      </c>
      <c r="H80" s="314">
        <f t="shared" si="43"/>
        <v>0.31168831168831157</v>
      </c>
      <c r="I80" s="314">
        <f t="shared" si="44"/>
        <v>0.5714285714285714</v>
      </c>
      <c r="J80" s="314">
        <f t="shared" si="45"/>
        <v>0.11403508771929816</v>
      </c>
      <c r="K80" s="313">
        <f t="shared" si="46"/>
        <v>0.12799999999999989</v>
      </c>
      <c r="L80" s="315">
        <f t="shared" si="47"/>
        <v>0.42352941176470593</v>
      </c>
      <c r="M80" s="316">
        <f t="shared" si="48"/>
        <v>0.15841584158415833</v>
      </c>
      <c r="N80" s="316">
        <f t="shared" si="49"/>
        <v>7.2727272727272751E-2</v>
      </c>
      <c r="O80" s="316">
        <f t="shared" si="50"/>
        <v>0.14960629921259838</v>
      </c>
      <c r="P80" s="315">
        <f t="shared" si="51"/>
        <v>0.18676122931442074</v>
      </c>
      <c r="Q80" s="315">
        <f t="shared" si="52"/>
        <v>4.9586776859504189E-2</v>
      </c>
      <c r="R80" s="316">
        <f t="shared" si="53"/>
        <v>-2.564102564102555E-2</v>
      </c>
      <c r="S80" s="86">
        <v>0.20300000000000001</v>
      </c>
      <c r="T80" s="316">
        <f t="shared" si="53"/>
        <v>-0.31506849315068497</v>
      </c>
      <c r="U80" s="485">
        <f t="shared" si="53"/>
        <v>-3.7848605577691097E-2</v>
      </c>
    </row>
    <row r="81" spans="1:21">
      <c r="A81" s="219" t="s">
        <v>188</v>
      </c>
      <c r="B81" s="331"/>
      <c r="C81" s="331"/>
      <c r="D81" s="331"/>
      <c r="E81" s="331"/>
      <c r="F81" s="332"/>
      <c r="G81" s="317">
        <f t="shared" si="42"/>
        <v>0.22225384177575425</v>
      </c>
      <c r="H81" s="318">
        <f t="shared" si="43"/>
        <v>0.18057713651498331</v>
      </c>
      <c r="I81" s="318">
        <f t="shared" si="44"/>
        <v>0.16417145200984407</v>
      </c>
      <c r="J81" s="318">
        <f t="shared" si="45"/>
        <v>0.15638484896915461</v>
      </c>
      <c r="K81" s="317">
        <f t="shared" si="46"/>
        <v>0.17614348370927346</v>
      </c>
      <c r="L81" s="319">
        <f t="shared" si="47"/>
        <v>0.24691501746216526</v>
      </c>
      <c r="M81" s="320">
        <f t="shared" si="48"/>
        <v>0.17570743630722929</v>
      </c>
      <c r="N81" s="320">
        <f t="shared" si="49"/>
        <v>9.2838897207786264E-2</v>
      </c>
      <c r="O81" s="320">
        <f t="shared" si="50"/>
        <v>6.7307027848801049E-2</v>
      </c>
      <c r="P81" s="319">
        <f t="shared" si="51"/>
        <v>0.13358194046747029</v>
      </c>
      <c r="Q81" s="319">
        <f t="shared" si="52"/>
        <v>5.5550368779759385E-2</v>
      </c>
      <c r="R81" s="320">
        <f t="shared" si="53"/>
        <v>1.0874780105549542E-2</v>
      </c>
      <c r="S81" s="321">
        <v>9.1999999999999998E-2</v>
      </c>
      <c r="T81" s="320">
        <f t="shared" si="53"/>
        <v>9.3557785691162243E-2</v>
      </c>
      <c r="U81" s="319">
        <f t="shared" si="53"/>
        <v>6.5029665746343168E-2</v>
      </c>
    </row>
    <row r="82" spans="1:21">
      <c r="A82" s="159" t="s">
        <v>49</v>
      </c>
      <c r="B82" s="327"/>
      <c r="C82" s="327"/>
      <c r="D82" s="327"/>
      <c r="E82" s="327"/>
      <c r="F82" s="328"/>
      <c r="G82" s="333"/>
      <c r="H82" s="334"/>
      <c r="I82" s="334"/>
      <c r="J82" s="334"/>
      <c r="K82" s="333"/>
      <c r="L82" s="335"/>
      <c r="M82" s="336"/>
      <c r="N82" s="336"/>
      <c r="O82" s="336"/>
      <c r="P82" s="335"/>
      <c r="Q82" s="335"/>
      <c r="R82" s="337"/>
      <c r="S82" s="325"/>
      <c r="T82" s="325"/>
      <c r="U82" s="335"/>
    </row>
    <row r="83" spans="1:21">
      <c r="A83" s="159" t="s">
        <v>152</v>
      </c>
      <c r="B83" s="327"/>
      <c r="C83" s="327"/>
      <c r="D83" s="327"/>
      <c r="E83" s="327"/>
      <c r="F83" s="328"/>
      <c r="G83" s="333"/>
      <c r="H83" s="334"/>
      <c r="I83" s="334"/>
      <c r="J83" s="334"/>
      <c r="K83" s="333"/>
      <c r="L83" s="335"/>
      <c r="M83" s="336"/>
      <c r="N83" s="336"/>
      <c r="O83" s="336"/>
      <c r="P83" s="335"/>
      <c r="Q83" s="335"/>
      <c r="R83" s="337"/>
      <c r="S83" s="325"/>
      <c r="T83" s="325"/>
      <c r="U83" s="335"/>
    </row>
    <row r="84" spans="1:21">
      <c r="A84" s="159"/>
      <c r="B84" s="327"/>
      <c r="C84" s="327"/>
      <c r="D84" s="327"/>
      <c r="E84" s="327"/>
      <c r="F84" s="328"/>
      <c r="G84" s="333"/>
      <c r="H84" s="334"/>
      <c r="I84" s="334"/>
      <c r="J84" s="334"/>
      <c r="K84" s="333"/>
      <c r="L84" s="335"/>
      <c r="M84" s="336"/>
      <c r="N84" s="336"/>
      <c r="O84" s="336"/>
      <c r="P84" s="335"/>
      <c r="Q84" s="335"/>
      <c r="R84" s="337"/>
      <c r="S84" s="325"/>
      <c r="T84" s="325"/>
      <c r="U84" s="335"/>
    </row>
    <row r="85" spans="1:21" s="421" customFormat="1">
      <c r="A85" s="415" t="s">
        <v>236</v>
      </c>
      <c r="B85" s="442"/>
      <c r="C85" s="442"/>
      <c r="D85" s="442"/>
      <c r="E85" s="442"/>
      <c r="F85" s="443"/>
      <c r="G85" s="444"/>
      <c r="H85" s="445"/>
      <c r="I85" s="445"/>
      <c r="J85" s="445"/>
      <c r="K85" s="444"/>
      <c r="L85" s="446"/>
      <c r="M85" s="447"/>
      <c r="N85" s="447"/>
      <c r="O85" s="447"/>
      <c r="P85" s="446"/>
      <c r="Q85" s="446"/>
      <c r="R85" s="448"/>
      <c r="S85" s="441"/>
      <c r="T85" s="441"/>
      <c r="U85" s="446"/>
    </row>
    <row r="86" spans="1:21">
      <c r="A86" s="159" t="s">
        <v>184</v>
      </c>
      <c r="B86" s="327"/>
      <c r="C86" s="327"/>
      <c r="D86" s="327"/>
      <c r="E86" s="327"/>
      <c r="F86" s="328"/>
      <c r="G86" s="307">
        <v>0.10020100393899045</v>
      </c>
      <c r="H86" s="308">
        <v>0.17676304785756858</v>
      </c>
      <c r="I86" s="308">
        <v>0.5241285544213139</v>
      </c>
      <c r="J86" s="308">
        <v>1.107698441505879</v>
      </c>
      <c r="K86" s="307">
        <v>0.49361126773097452</v>
      </c>
      <c r="L86" s="309">
        <v>1.2309451923629164</v>
      </c>
      <c r="M86" s="310">
        <v>0.99174170571323361</v>
      </c>
      <c r="N86" s="310">
        <v>0.60876341828160352</v>
      </c>
      <c r="O86" s="310">
        <v>0.11880887348800506</v>
      </c>
      <c r="P86" s="309">
        <v>0.59355465819204678</v>
      </c>
      <c r="Q86" s="309">
        <v>7.0027443289108371E-2</v>
      </c>
      <c r="R86" s="310">
        <v>5.4108008773793514E-2</v>
      </c>
      <c r="S86" s="312">
        <v>9.1999999999999998E-2</v>
      </c>
      <c r="T86" s="312">
        <v>5.7000000000000002E-2</v>
      </c>
      <c r="U86" s="309">
        <v>6.8000000000000005E-2</v>
      </c>
    </row>
    <row r="87" spans="1:21">
      <c r="A87" s="159" t="s">
        <v>185</v>
      </c>
      <c r="B87" s="327"/>
      <c r="C87" s="327"/>
      <c r="D87" s="327"/>
      <c r="E87" s="327"/>
      <c r="F87" s="328"/>
      <c r="G87" s="307">
        <v>-1.5325280884180836E-2</v>
      </c>
      <c r="H87" s="308">
        <v>0.52642766522441886</v>
      </c>
      <c r="I87" s="308">
        <v>9.5958298123296704E-2</v>
      </c>
      <c r="J87" s="308">
        <v>0.50490004819811429</v>
      </c>
      <c r="K87" s="307">
        <v>0.24841710591142085</v>
      </c>
      <c r="L87" s="309">
        <v>8.6373020338866846E-2</v>
      </c>
      <c r="M87" s="310">
        <v>7.7065766284479809E-2</v>
      </c>
      <c r="N87" s="310">
        <v>4.8060744023616264E-2</v>
      </c>
      <c r="O87" s="310">
        <v>2.8047390114714021E-2</v>
      </c>
      <c r="P87" s="309">
        <v>5.7546252073092052E-2</v>
      </c>
      <c r="Q87" s="309">
        <v>0.10898057648187032</v>
      </c>
      <c r="R87" s="310">
        <v>0.10787598093495476</v>
      </c>
      <c r="S87" s="312">
        <v>0.14699999999999999</v>
      </c>
      <c r="T87" s="312">
        <v>8.5999999999999993E-2</v>
      </c>
      <c r="U87" s="309">
        <v>0.111</v>
      </c>
    </row>
    <row r="88" spans="1:21">
      <c r="A88" s="159" t="s">
        <v>31</v>
      </c>
      <c r="B88" s="327"/>
      <c r="C88" s="327"/>
      <c r="D88" s="327"/>
      <c r="E88" s="327"/>
      <c r="F88" s="328"/>
      <c r="G88" s="307">
        <v>5.8168618106899217E-2</v>
      </c>
      <c r="H88" s="308">
        <v>0.33037758960319974</v>
      </c>
      <c r="I88" s="308">
        <v>2.5240606000156651E-2</v>
      </c>
      <c r="J88" s="308">
        <v>-8.8881045113643475E-3</v>
      </c>
      <c r="K88" s="307">
        <v>7.927590653791583E-2</v>
      </c>
      <c r="L88" s="309">
        <v>-5.9548680015314437E-3</v>
      </c>
      <c r="M88" s="310">
        <v>-2.5714643404204374E-3</v>
      </c>
      <c r="N88" s="310">
        <v>-5.4548220478156662E-2</v>
      </c>
      <c r="O88" s="310">
        <v>9.7754901400609606E-2</v>
      </c>
      <c r="P88" s="309">
        <v>1.7877906534335741E-2</v>
      </c>
      <c r="Q88" s="309">
        <v>0.16613244232930624</v>
      </c>
      <c r="R88" s="310">
        <v>0.13345080847184709</v>
      </c>
      <c r="S88" s="312">
        <v>0.24299999999999999</v>
      </c>
      <c r="T88" s="312">
        <v>-1E-3</v>
      </c>
      <c r="U88" s="309">
        <v>0.11600000000000001</v>
      </c>
    </row>
    <row r="89" spans="1:21">
      <c r="A89" s="159" t="s">
        <v>186</v>
      </c>
      <c r="B89" s="327"/>
      <c r="C89" s="327"/>
      <c r="D89" s="327"/>
      <c r="E89" s="327"/>
      <c r="F89" s="328"/>
      <c r="G89" s="307">
        <v>-0.39829909020369314</v>
      </c>
      <c r="H89" s="308">
        <v>0.96752327882330769</v>
      </c>
      <c r="I89" s="308">
        <v>-0.12560653234245756</v>
      </c>
      <c r="J89" s="308">
        <v>1.0644460595644212</v>
      </c>
      <c r="K89" s="307">
        <v>0.2891659180843571</v>
      </c>
      <c r="L89" s="309">
        <v>0.53037963309587166</v>
      </c>
      <c r="M89" s="310">
        <v>0.54174117111637066</v>
      </c>
      <c r="N89" s="310">
        <v>0.32159331716193429</v>
      </c>
      <c r="O89" s="310">
        <v>-0.53562069695027081</v>
      </c>
      <c r="P89" s="309">
        <v>-4.9276467159798387E-2</v>
      </c>
      <c r="Q89" s="309">
        <v>0.2087371831527538</v>
      </c>
      <c r="R89" s="310">
        <v>-8.9120669007071607E-2</v>
      </c>
      <c r="S89" s="312">
        <v>-7.0999999999999994E-2</v>
      </c>
      <c r="T89" s="312">
        <v>0.1</v>
      </c>
      <c r="U89" s="309">
        <v>3.1E-2</v>
      </c>
    </row>
    <row r="90" spans="1:21">
      <c r="A90" s="159" t="s">
        <v>28</v>
      </c>
      <c r="B90" s="327"/>
      <c r="C90" s="327"/>
      <c r="D90" s="327"/>
      <c r="E90" s="327"/>
      <c r="F90" s="328"/>
      <c r="G90" s="307">
        <v>-6.2722346853156252E-2</v>
      </c>
      <c r="H90" s="308">
        <v>0.32691576742643536</v>
      </c>
      <c r="I90" s="308">
        <v>0.21732553807127641</v>
      </c>
      <c r="J90" s="308">
        <v>0.21536157947792156</v>
      </c>
      <c r="K90" s="307">
        <v>0.18390744840883055</v>
      </c>
      <c r="L90" s="309">
        <v>0.15983360122268908</v>
      </c>
      <c r="M90" s="310">
        <v>-0.10799134101742136</v>
      </c>
      <c r="N90" s="310">
        <v>2.6404368036204717E-2</v>
      </c>
      <c r="O90" s="310">
        <v>6.1281244243311495E-2</v>
      </c>
      <c r="P90" s="309">
        <v>3.0813911732989085E-2</v>
      </c>
      <c r="Q90" s="309">
        <v>0.12397124138193005</v>
      </c>
      <c r="R90" s="310">
        <v>0.12090093517757605</v>
      </c>
      <c r="S90" s="312">
        <v>4.2999999999999997E-2</v>
      </c>
      <c r="T90" s="312">
        <v>3.4000000000000002E-2</v>
      </c>
      <c r="U90" s="309">
        <v>6.9000000000000006E-2</v>
      </c>
    </row>
    <row r="91" spans="1:21">
      <c r="A91" s="159" t="s">
        <v>27</v>
      </c>
      <c r="B91" s="327"/>
      <c r="C91" s="327"/>
      <c r="D91" s="327"/>
      <c r="E91" s="327"/>
      <c r="F91" s="328"/>
      <c r="G91" s="307">
        <v>5.6825260272172162E-2</v>
      </c>
      <c r="H91" s="308">
        <v>0.61931054299270416</v>
      </c>
      <c r="I91" s="308">
        <v>0.21666945211396027</v>
      </c>
      <c r="J91" s="308">
        <v>-8.3951566987763737E-2</v>
      </c>
      <c r="K91" s="307">
        <v>0.13738282143022462</v>
      </c>
      <c r="L91" s="309">
        <v>0.1071123425973366</v>
      </c>
      <c r="M91" s="310">
        <v>-0.16383659860107724</v>
      </c>
      <c r="N91" s="310">
        <v>8.8813475378630713E-3</v>
      </c>
      <c r="O91" s="310">
        <v>7.555224513321801E-2</v>
      </c>
      <c r="P91" s="309">
        <v>5.8995977025912971E-3</v>
      </c>
      <c r="Q91" s="309">
        <v>0.15864563874734405</v>
      </c>
      <c r="R91" s="310">
        <v>0.41794502288941948</v>
      </c>
      <c r="S91" s="312">
        <v>-1.7999999999999999E-2</v>
      </c>
      <c r="T91" s="312">
        <v>0.19500000000000001</v>
      </c>
      <c r="U91" s="309">
        <v>0.182</v>
      </c>
    </row>
    <row r="92" spans="1:21">
      <c r="A92" s="159" t="s">
        <v>187</v>
      </c>
      <c r="B92" s="327"/>
      <c r="C92" s="327"/>
      <c r="D92" s="327"/>
      <c r="E92" s="327"/>
      <c r="F92" s="328"/>
      <c r="G92" s="307">
        <v>3.2284891327375806</v>
      </c>
      <c r="H92" s="308">
        <v>17.570878095338216</v>
      </c>
      <c r="I92" s="308">
        <v>8.2532536431739913</v>
      </c>
      <c r="J92" s="308">
        <v>-0.96944900550390456</v>
      </c>
      <c r="K92" s="307">
        <v>-6.8507076678932521E-2</v>
      </c>
      <c r="L92" s="309">
        <v>-1.7366151303967015E-2</v>
      </c>
      <c r="M92" s="310">
        <v>-0.96230838583795397</v>
      </c>
      <c r="N92" s="310">
        <v>-0.33004106924320109</v>
      </c>
      <c r="O92" s="310">
        <v>3.4724230369032405</v>
      </c>
      <c r="P92" s="309">
        <v>-0.40609230830462995</v>
      </c>
      <c r="Q92" s="309">
        <v>0.66037684123724349</v>
      </c>
      <c r="R92" s="310">
        <v>23.474731840675759</v>
      </c>
      <c r="S92" s="312">
        <v>-9.6000000000000002E-2</v>
      </c>
      <c r="T92" s="312">
        <v>0.193</v>
      </c>
      <c r="U92" s="309">
        <v>0.99099999999999999</v>
      </c>
    </row>
    <row r="93" spans="1:21" s="19" customFormat="1">
      <c r="A93" s="217" t="s">
        <v>29</v>
      </c>
      <c r="B93" s="329"/>
      <c r="C93" s="329"/>
      <c r="D93" s="329"/>
      <c r="E93" s="329"/>
      <c r="F93" s="330"/>
      <c r="G93" s="313">
        <v>0.42545722216324977</v>
      </c>
      <c r="H93" s="314">
        <v>-0.4843535192105406</v>
      </c>
      <c r="I93" s="314">
        <v>0.26680501496994724</v>
      </c>
      <c r="J93" s="314">
        <v>-0.34187404094444063</v>
      </c>
      <c r="K93" s="313">
        <v>-0.14479908888227422</v>
      </c>
      <c r="L93" s="315">
        <v>-0.47116212413172154</v>
      </c>
      <c r="M93" s="316">
        <v>0.41393794737550893</v>
      </c>
      <c r="N93" s="316">
        <v>-0.10369682055565999</v>
      </c>
      <c r="O93" s="316">
        <v>8.1486467979184907E-2</v>
      </c>
      <c r="P93" s="315">
        <v>-5.0256230864755169E-2</v>
      </c>
      <c r="Q93" s="315">
        <v>0.26533324755643739</v>
      </c>
      <c r="R93" s="316">
        <v>1.5510353219518436E-2</v>
      </c>
      <c r="S93" s="86">
        <v>-2.3E-2</v>
      </c>
      <c r="T93" s="86">
        <v>0.314</v>
      </c>
      <c r="U93" s="315">
        <v>0.13300000000000001</v>
      </c>
    </row>
    <row r="94" spans="1:21">
      <c r="A94" s="219" t="s">
        <v>188</v>
      </c>
      <c r="B94" s="327"/>
      <c r="C94" s="327"/>
      <c r="D94" s="327"/>
      <c r="E94" s="327"/>
      <c r="F94" s="328"/>
      <c r="G94" s="317">
        <v>4.0526890676823024E-2</v>
      </c>
      <c r="H94" s="318">
        <v>0.32001109819428075</v>
      </c>
      <c r="I94" s="318">
        <v>0.28621107828440451</v>
      </c>
      <c r="J94" s="318">
        <v>0.34781973355687046</v>
      </c>
      <c r="K94" s="317">
        <v>0.26215541000018616</v>
      </c>
      <c r="L94" s="319">
        <v>0.52071025886261424</v>
      </c>
      <c r="M94" s="320">
        <v>0.30901619157565019</v>
      </c>
      <c r="N94" s="320">
        <v>0.2443541638088651</v>
      </c>
      <c r="O94" s="320">
        <v>8.4201463390813025E-2</v>
      </c>
      <c r="P94" s="319">
        <v>0.24747188071591109</v>
      </c>
      <c r="Q94" s="319">
        <v>0.10273769173448866</v>
      </c>
      <c r="R94" s="320">
        <v>0.12558135958988847</v>
      </c>
      <c r="S94" s="321">
        <v>7.5999999999999998E-2</v>
      </c>
      <c r="T94" s="321">
        <v>7.5999999999999998E-2</v>
      </c>
      <c r="U94" s="319">
        <v>9.2999999999999999E-2</v>
      </c>
    </row>
    <row r="95" spans="1:21">
      <c r="A95" s="159" t="s">
        <v>49</v>
      </c>
      <c r="B95" s="327"/>
      <c r="C95" s="327"/>
      <c r="D95" s="327"/>
      <c r="E95" s="327"/>
      <c r="F95" s="328"/>
      <c r="G95" s="307"/>
      <c r="H95" s="308"/>
      <c r="I95" s="308"/>
      <c r="J95" s="308"/>
      <c r="K95" s="307"/>
      <c r="L95" s="309"/>
      <c r="M95" s="310"/>
      <c r="N95" s="310"/>
      <c r="O95" s="310"/>
      <c r="P95" s="309"/>
      <c r="Q95" s="309"/>
      <c r="R95" s="310"/>
      <c r="S95" s="312"/>
      <c r="T95" s="312"/>
      <c r="U95" s="309"/>
    </row>
    <row r="96" spans="1:21">
      <c r="A96" s="159" t="s">
        <v>152</v>
      </c>
      <c r="B96" s="327"/>
      <c r="C96" s="327"/>
      <c r="D96" s="327"/>
      <c r="E96" s="327"/>
      <c r="F96" s="328"/>
      <c r="G96" s="307"/>
      <c r="H96" s="308"/>
      <c r="I96" s="308"/>
      <c r="J96" s="308"/>
      <c r="K96" s="307"/>
      <c r="L96" s="309"/>
      <c r="M96" s="310"/>
      <c r="N96" s="310"/>
      <c r="O96" s="310"/>
      <c r="P96" s="309"/>
      <c r="Q96" s="309"/>
      <c r="R96" s="310"/>
      <c r="S96" s="312"/>
      <c r="T96" s="312"/>
      <c r="U96" s="309"/>
    </row>
    <row r="97" spans="1:21">
      <c r="A97" s="159"/>
      <c r="B97" s="327"/>
      <c r="C97" s="327"/>
      <c r="D97" s="327"/>
      <c r="E97" s="327"/>
      <c r="F97" s="328"/>
      <c r="G97" s="307"/>
      <c r="H97" s="308"/>
      <c r="I97" s="308"/>
      <c r="J97" s="308"/>
      <c r="K97" s="307"/>
      <c r="L97" s="309"/>
      <c r="M97" s="310"/>
      <c r="N97" s="310"/>
      <c r="O97" s="310"/>
      <c r="P97" s="309"/>
      <c r="Q97" s="309"/>
      <c r="R97" s="310"/>
      <c r="S97" s="312"/>
      <c r="T97" s="312"/>
      <c r="U97" s="309"/>
    </row>
    <row r="98" spans="1:21" s="421" customFormat="1">
      <c r="A98" s="415" t="s">
        <v>237</v>
      </c>
      <c r="B98" s="442"/>
      <c r="C98" s="442"/>
      <c r="D98" s="442"/>
      <c r="E98" s="442"/>
      <c r="F98" s="443"/>
      <c r="G98" s="449"/>
      <c r="H98" s="450"/>
      <c r="I98" s="450"/>
      <c r="J98" s="450"/>
      <c r="K98" s="449"/>
      <c r="L98" s="451"/>
      <c r="M98" s="452"/>
      <c r="N98" s="452"/>
      <c r="O98" s="452"/>
      <c r="P98" s="451"/>
      <c r="Q98" s="451"/>
      <c r="R98" s="452"/>
      <c r="S98" s="453"/>
      <c r="T98" s="453"/>
      <c r="U98" s="451"/>
    </row>
    <row r="99" spans="1:21">
      <c r="A99" s="159" t="s">
        <v>184</v>
      </c>
      <c r="B99" s="327"/>
      <c r="C99" s="327"/>
      <c r="D99" s="327"/>
      <c r="E99" s="327"/>
      <c r="F99" s="328"/>
      <c r="G99" s="307">
        <f t="shared" ref="G99:G107" si="54">+G18/B18-1</f>
        <v>2.4650780608053147E-3</v>
      </c>
      <c r="H99" s="308">
        <f t="shared" ref="H99:H107" si="55">+H18/C18-1</f>
        <v>4.0960451977401169E-2</v>
      </c>
      <c r="I99" s="308">
        <f t="shared" ref="I99:I107" si="56">+I18/D18-1</f>
        <v>0.40837282780410766</v>
      </c>
      <c r="J99" s="308">
        <f t="shared" ref="J99:J107" si="57">+J18/E18-1</f>
        <v>1.0255701451278512</v>
      </c>
      <c r="K99" s="307">
        <f t="shared" ref="K99:K107" si="58">+K18/F18-1</f>
        <v>0.38570894126449695</v>
      </c>
      <c r="L99" s="309">
        <f t="shared" ref="L99:L107" si="59">+L18/G18-1</f>
        <v>1.151639344262295</v>
      </c>
      <c r="M99" s="310">
        <f t="shared" ref="M99:M107" si="60">+M18/H18-1</f>
        <v>0.95725915875169609</v>
      </c>
      <c r="N99" s="310">
        <f t="shared" ref="N99:N107" si="61">+N18/I18-1</f>
        <v>0.4851374088614695</v>
      </c>
      <c r="O99" s="310">
        <f t="shared" ref="O99:O107" si="62">+O18/J18-1</f>
        <v>8.1883316274309337E-3</v>
      </c>
      <c r="P99" s="309">
        <f t="shared" ref="P99:P107" si="63">+P18/K18-1</f>
        <v>0.50013498920086397</v>
      </c>
      <c r="Q99" s="309">
        <f t="shared" ref="Q99:Q107" si="64">+Q18/L18-1</f>
        <v>-1.7142857142857126E-2</v>
      </c>
      <c r="R99" s="310">
        <f t="shared" ref="R99:U107" si="65">+R18/M18-1</f>
        <v>-3.2928942807625705E-2</v>
      </c>
      <c r="S99" s="310">
        <f t="shared" ref="S99:S107" si="66">+S18/N18-1</f>
        <v>0.10574018126888207</v>
      </c>
      <c r="T99" s="310">
        <f t="shared" si="65"/>
        <v>0.12656514382402695</v>
      </c>
      <c r="U99" s="309">
        <f t="shared" si="65"/>
        <v>4.6252137136686633E-2</v>
      </c>
    </row>
    <row r="100" spans="1:21">
      <c r="A100" s="159" t="s">
        <v>185</v>
      </c>
      <c r="B100" s="327"/>
      <c r="C100" s="327"/>
      <c r="D100" s="327"/>
      <c r="E100" s="327"/>
      <c r="F100" s="328"/>
      <c r="G100" s="307">
        <f t="shared" si="54"/>
        <v>-0.14058355437665793</v>
      </c>
      <c r="H100" s="308">
        <f t="shared" si="55"/>
        <v>0.28727272727272712</v>
      </c>
      <c r="I100" s="308">
        <f t="shared" si="56"/>
        <v>-4.1994750656167978E-2</v>
      </c>
      <c r="J100" s="308">
        <f t="shared" si="57"/>
        <v>0.36593059936908512</v>
      </c>
      <c r="K100" s="307">
        <f t="shared" si="58"/>
        <v>9.3333333333333268E-2</v>
      </c>
      <c r="L100" s="309">
        <f t="shared" si="59"/>
        <v>1.2345679012345734E-2</v>
      </c>
      <c r="M100" s="310">
        <f t="shared" si="60"/>
        <v>7.0621468926553632E-2</v>
      </c>
      <c r="N100" s="310">
        <f t="shared" si="61"/>
        <v>-5.4794520547946091E-3</v>
      </c>
      <c r="O100" s="310">
        <f t="shared" si="62"/>
        <v>-4.6189376443418029E-2</v>
      </c>
      <c r="P100" s="309">
        <f t="shared" si="63"/>
        <v>4.7425474254740863E-3</v>
      </c>
      <c r="Q100" s="309">
        <f t="shared" si="64"/>
        <v>5.4878048780487854E-2</v>
      </c>
      <c r="R100" s="310">
        <f t="shared" si="65"/>
        <v>3.9577836411609502E-2</v>
      </c>
      <c r="S100" s="310">
        <f t="shared" si="66"/>
        <v>0.18457300275482114</v>
      </c>
      <c r="T100" s="310">
        <f t="shared" si="65"/>
        <v>0.16464891041162244</v>
      </c>
      <c r="U100" s="309">
        <f t="shared" si="65"/>
        <v>0.11328388401888079</v>
      </c>
    </row>
    <row r="101" spans="1:21">
      <c r="A101" s="159" t="s">
        <v>31</v>
      </c>
      <c r="B101" s="327"/>
      <c r="C101" s="327"/>
      <c r="D101" s="327"/>
      <c r="E101" s="327"/>
      <c r="F101" s="328"/>
      <c r="G101" s="307">
        <f t="shared" si="54"/>
        <v>-5.7971014492753659E-2</v>
      </c>
      <c r="H101" s="308">
        <f t="shared" si="55"/>
        <v>0.14195583596214512</v>
      </c>
      <c r="I101" s="308">
        <f t="shared" si="56"/>
        <v>-0.10250000000000004</v>
      </c>
      <c r="J101" s="308">
        <f t="shared" si="57"/>
        <v>-0.10434782608695647</v>
      </c>
      <c r="K101" s="307">
        <f t="shared" si="58"/>
        <v>-4.6426389737324381E-2</v>
      </c>
      <c r="L101" s="309">
        <f t="shared" si="59"/>
        <v>-6.7692307692307718E-2</v>
      </c>
      <c r="M101" s="310">
        <f t="shared" si="60"/>
        <v>-1.6574585635359185E-2</v>
      </c>
      <c r="N101" s="310">
        <f t="shared" si="61"/>
        <v>-0.13370473537604455</v>
      </c>
      <c r="O101" s="310">
        <f t="shared" si="62"/>
        <v>7.7669902912620437E-3</v>
      </c>
      <c r="P101" s="309">
        <f t="shared" si="63"/>
        <v>-4.6124279308135785E-2</v>
      </c>
      <c r="Q101" s="309">
        <f t="shared" si="64"/>
        <v>7.2607260726072598E-2</v>
      </c>
      <c r="R101" s="310">
        <f t="shared" si="65"/>
        <v>4.4943820224719211E-2</v>
      </c>
      <c r="S101" s="310">
        <f t="shared" si="66"/>
        <v>0.270096463022508</v>
      </c>
      <c r="T101" s="310">
        <f t="shared" si="65"/>
        <v>7.707129094412335E-2</v>
      </c>
      <c r="U101" s="309">
        <f t="shared" si="65"/>
        <v>0.10879785090664873</v>
      </c>
    </row>
    <row r="102" spans="1:21">
      <c r="A102" s="159" t="s">
        <v>186</v>
      </c>
      <c r="B102" s="327"/>
      <c r="C102" s="327"/>
      <c r="D102" s="327"/>
      <c r="E102" s="327"/>
      <c r="F102" s="328"/>
      <c r="G102" s="307">
        <f t="shared" si="54"/>
        <v>-0.44117647058823528</v>
      </c>
      <c r="H102" s="308">
        <f t="shared" si="55"/>
        <v>0.76923076923076894</v>
      </c>
      <c r="I102" s="308">
        <f t="shared" si="56"/>
        <v>-0.21428571428571419</v>
      </c>
      <c r="J102" s="308">
        <f t="shared" si="57"/>
        <v>0.97058823529411775</v>
      </c>
      <c r="K102" s="307">
        <f t="shared" si="58"/>
        <v>0.201834862385321</v>
      </c>
      <c r="L102" s="309">
        <f t="shared" si="59"/>
        <v>0.42105263157894757</v>
      </c>
      <c r="M102" s="310">
        <f t="shared" si="60"/>
        <v>0.43478260869565211</v>
      </c>
      <c r="N102" s="310">
        <f t="shared" si="61"/>
        <v>0.13636363636363624</v>
      </c>
      <c r="O102" s="310">
        <f t="shared" si="62"/>
        <v>-0.61194029850746268</v>
      </c>
      <c r="P102" s="309">
        <f t="shared" si="63"/>
        <v>-0.15267175572519087</v>
      </c>
      <c r="Q102" s="309">
        <f t="shared" si="64"/>
        <v>7.4074074074073959E-2</v>
      </c>
      <c r="R102" s="310">
        <f t="shared" si="65"/>
        <v>-0.18181818181818177</v>
      </c>
      <c r="S102" s="310">
        <f t="shared" si="66"/>
        <v>-8.0000000000000071E-2</v>
      </c>
      <c r="T102" s="310">
        <f t="shared" si="65"/>
        <v>0.19230769230769229</v>
      </c>
      <c r="U102" s="309">
        <f t="shared" si="65"/>
        <v>-9.009009009009028E-3</v>
      </c>
    </row>
    <row r="103" spans="1:21">
      <c r="A103" s="159" t="s">
        <v>28</v>
      </c>
      <c r="B103" s="327"/>
      <c r="C103" s="327"/>
      <c r="D103" s="327"/>
      <c r="E103" s="327"/>
      <c r="F103" s="328"/>
      <c r="G103" s="307">
        <f t="shared" si="54"/>
        <v>-0.18555417185554157</v>
      </c>
      <c r="H103" s="308">
        <f t="shared" si="55"/>
        <v>0.12124849939976001</v>
      </c>
      <c r="I103" s="308">
        <f t="shared" si="56"/>
        <v>5.9426229508196871E-2</v>
      </c>
      <c r="J103" s="308">
        <f t="shared" si="57"/>
        <v>0.10869565217391308</v>
      </c>
      <c r="K103" s="307">
        <f t="shared" si="58"/>
        <v>4.1625857002938416E-2</v>
      </c>
      <c r="L103" s="309">
        <f t="shared" si="59"/>
        <v>8.4097859327217028E-2</v>
      </c>
      <c r="M103" s="310">
        <f t="shared" si="60"/>
        <v>-0.11563169164882237</v>
      </c>
      <c r="N103" s="310">
        <f t="shared" si="61"/>
        <v>-4.8355899419729176E-2</v>
      </c>
      <c r="O103" s="310">
        <f t="shared" si="62"/>
        <v>-2.6960784313725394E-2</v>
      </c>
      <c r="P103" s="309">
        <f t="shared" si="63"/>
        <v>-3.4555712270803896E-2</v>
      </c>
      <c r="Q103" s="309">
        <f t="shared" si="64"/>
        <v>5.6417489421720646E-2</v>
      </c>
      <c r="R103" s="310">
        <f t="shared" si="65"/>
        <v>6.1743341404358443E-2</v>
      </c>
      <c r="S103" s="310">
        <f t="shared" si="66"/>
        <v>7.0121951219512146E-2</v>
      </c>
      <c r="T103" s="310">
        <f t="shared" si="65"/>
        <v>0.11964735516372804</v>
      </c>
      <c r="U103" s="309">
        <f t="shared" si="65"/>
        <v>8.5220355490625677E-2</v>
      </c>
    </row>
    <row r="104" spans="1:21">
      <c r="A104" s="159" t="s">
        <v>27</v>
      </c>
      <c r="B104" s="327"/>
      <c r="C104" s="327"/>
      <c r="D104" s="327"/>
      <c r="E104" s="327"/>
      <c r="F104" s="328"/>
      <c r="G104" s="307">
        <f t="shared" si="54"/>
        <v>-6.3962558502340006E-2</v>
      </c>
      <c r="H104" s="308">
        <f t="shared" si="55"/>
        <v>0.3739967897271268</v>
      </c>
      <c r="I104" s="308">
        <f t="shared" si="56"/>
        <v>6.7307692307692291E-2</v>
      </c>
      <c r="J104" s="308">
        <f t="shared" si="57"/>
        <v>-0.1731175228712174</v>
      </c>
      <c r="K104" s="307">
        <f t="shared" si="58"/>
        <v>5.6866647711117935E-4</v>
      </c>
      <c r="L104" s="309">
        <f t="shared" si="59"/>
        <v>3.6666666666666625E-2</v>
      </c>
      <c r="M104" s="310">
        <f t="shared" si="60"/>
        <v>-0.16822429906542047</v>
      </c>
      <c r="N104" s="310">
        <f t="shared" si="61"/>
        <v>-5.7432432432432345E-2</v>
      </c>
      <c r="O104" s="310">
        <f t="shared" si="62"/>
        <v>-1.7021276595744483E-3</v>
      </c>
      <c r="P104" s="309">
        <f t="shared" si="63"/>
        <v>-4.9730036942313038E-2</v>
      </c>
      <c r="Q104" s="309">
        <f t="shared" si="64"/>
        <v>8.1993569131832755E-2</v>
      </c>
      <c r="R104" s="310">
        <f t="shared" si="65"/>
        <v>0.32162921348314599</v>
      </c>
      <c r="S104" s="310">
        <f t="shared" si="66"/>
        <v>2.389486260454099E-3</v>
      </c>
      <c r="T104" s="310">
        <f t="shared" si="65"/>
        <v>0.29411764705882359</v>
      </c>
      <c r="U104" s="309">
        <f t="shared" si="65"/>
        <v>0.1875</v>
      </c>
    </row>
    <row r="105" spans="1:21">
      <c r="A105" s="159" t="s">
        <v>187</v>
      </c>
      <c r="B105" s="327"/>
      <c r="C105" s="327"/>
      <c r="D105" s="327"/>
      <c r="E105" s="327"/>
      <c r="F105" s="328"/>
      <c r="G105" s="307">
        <f t="shared" si="54"/>
        <v>3.3333333333333339</v>
      </c>
      <c r="H105" s="308">
        <f t="shared" si="55"/>
        <v>21</v>
      </c>
      <c r="I105" s="308">
        <f t="shared" si="56"/>
        <v>5.9999999999999991</v>
      </c>
      <c r="J105" s="308">
        <f t="shared" si="57"/>
        <v>-0.96363636363636362</v>
      </c>
      <c r="K105" s="307">
        <f t="shared" si="58"/>
        <v>-0.16393442622950805</v>
      </c>
      <c r="L105" s="309">
        <f t="shared" si="59"/>
        <v>-7.6923076923076983E-2</v>
      </c>
      <c r="M105" s="310">
        <f t="shared" si="60"/>
        <v>-0.95454545454545459</v>
      </c>
      <c r="N105" s="310">
        <f t="shared" si="61"/>
        <v>-0.3571428571428571</v>
      </c>
      <c r="O105" s="310">
        <f t="shared" si="62"/>
        <v>2.4999999999999996</v>
      </c>
      <c r="P105" s="309">
        <f t="shared" si="63"/>
        <v>-0.43137254901960786</v>
      </c>
      <c r="Q105" s="309">
        <f t="shared" si="64"/>
        <v>0.5</v>
      </c>
      <c r="R105" s="310">
        <f t="shared" si="65"/>
        <v>19</v>
      </c>
      <c r="S105" s="310">
        <f t="shared" si="66"/>
        <v>-0.11111111111111083</v>
      </c>
      <c r="T105" s="310">
        <f t="shared" si="65"/>
        <v>0.28571428571428581</v>
      </c>
      <c r="U105" s="309">
        <f t="shared" si="65"/>
        <v>0.89655172413793083</v>
      </c>
    </row>
    <row r="106" spans="1:21" s="19" customFormat="1">
      <c r="A106" s="217" t="s">
        <v>29</v>
      </c>
      <c r="B106" s="329"/>
      <c r="C106" s="329"/>
      <c r="D106" s="329"/>
      <c r="E106" s="329"/>
      <c r="F106" s="330"/>
      <c r="G106" s="313">
        <f t="shared" si="54"/>
        <v>0.30612244897959173</v>
      </c>
      <c r="H106" s="314">
        <f t="shared" si="55"/>
        <v>-0.54455445544554459</v>
      </c>
      <c r="I106" s="314">
        <f t="shared" si="56"/>
        <v>0.13157894736842102</v>
      </c>
      <c r="J106" s="314">
        <f t="shared" si="57"/>
        <v>-0.39370078740157477</v>
      </c>
      <c r="K106" s="313">
        <f t="shared" si="58"/>
        <v>-0.22662889518413587</v>
      </c>
      <c r="L106" s="315">
        <f t="shared" si="59"/>
        <v>-0.515625</v>
      </c>
      <c r="M106" s="316">
        <f t="shared" si="60"/>
        <v>0.36956521739130443</v>
      </c>
      <c r="N106" s="316">
        <f t="shared" si="61"/>
        <v>-0.20930232558139539</v>
      </c>
      <c r="O106" s="316">
        <f t="shared" si="62"/>
        <v>-3.8961038961038974E-2</v>
      </c>
      <c r="P106" s="315">
        <f t="shared" si="63"/>
        <v>-0.13553113553113549</v>
      </c>
      <c r="Q106" s="315">
        <f t="shared" si="64"/>
        <v>0.19354838709677424</v>
      </c>
      <c r="R106" s="316">
        <f t="shared" si="65"/>
        <v>-7.9365079365079416E-2</v>
      </c>
      <c r="S106" s="316">
        <f t="shared" si="66"/>
        <v>-1.4705882352951671E-2</v>
      </c>
      <c r="T106" s="316">
        <f t="shared" si="65"/>
        <v>0.37837837837837829</v>
      </c>
      <c r="U106" s="315">
        <f t="shared" si="65"/>
        <v>0.11864406779660697</v>
      </c>
    </row>
    <row r="107" spans="1:21">
      <c r="A107" s="219" t="s">
        <v>188</v>
      </c>
      <c r="B107" s="331"/>
      <c r="C107" s="331"/>
      <c r="D107" s="331"/>
      <c r="E107" s="331"/>
      <c r="F107" s="332"/>
      <c r="G107" s="317">
        <f t="shared" si="54"/>
        <v>-7.2066878062842288E-2</v>
      </c>
      <c r="H107" s="318">
        <f t="shared" si="55"/>
        <v>0.13746856663872609</v>
      </c>
      <c r="I107" s="318">
        <f t="shared" si="56"/>
        <v>0.14895228477657163</v>
      </c>
      <c r="J107" s="318">
        <f t="shared" si="57"/>
        <v>0.25403817914831128</v>
      </c>
      <c r="K107" s="317">
        <f t="shared" si="58"/>
        <v>0.13465394664884256</v>
      </c>
      <c r="L107" s="319">
        <f t="shared" si="59"/>
        <v>0.44672258465361914</v>
      </c>
      <c r="M107" s="320">
        <f t="shared" si="60"/>
        <v>0.29083763203144164</v>
      </c>
      <c r="N107" s="320">
        <f t="shared" si="61"/>
        <v>0.15249395737200611</v>
      </c>
      <c r="O107" s="320">
        <f t="shared" si="62"/>
        <v>-1.127049180327877E-2</v>
      </c>
      <c r="P107" s="319">
        <f t="shared" si="63"/>
        <v>0.17345900498045297</v>
      </c>
      <c r="Q107" s="319">
        <f t="shared" si="64"/>
        <v>2.1473051320592518E-2</v>
      </c>
      <c r="R107" s="320">
        <f t="shared" si="65"/>
        <v>4.2626070409133909E-2</v>
      </c>
      <c r="S107" s="320">
        <f t="shared" si="66"/>
        <v>9.4947569113441377E-2</v>
      </c>
      <c r="T107" s="320">
        <f t="shared" si="65"/>
        <v>0.15573649148778679</v>
      </c>
      <c r="U107" s="319">
        <f t="shared" si="65"/>
        <v>8.5523913837166843E-2</v>
      </c>
    </row>
    <row r="108" spans="1:21">
      <c r="A108" s="159" t="s">
        <v>49</v>
      </c>
      <c r="B108" s="327"/>
      <c r="C108" s="327"/>
      <c r="D108" s="327"/>
      <c r="E108" s="327"/>
      <c r="F108" s="328"/>
      <c r="G108" s="307"/>
      <c r="H108" s="308"/>
      <c r="I108" s="308"/>
      <c r="J108" s="308"/>
      <c r="K108" s="307"/>
      <c r="L108" s="309"/>
      <c r="M108" s="310"/>
      <c r="N108" s="310"/>
      <c r="O108" s="310"/>
      <c r="P108" s="309"/>
      <c r="Q108" s="309"/>
      <c r="R108" s="310"/>
      <c r="S108" s="312"/>
      <c r="T108" s="312"/>
      <c r="U108" s="309"/>
    </row>
    <row r="109" spans="1:21">
      <c r="A109" s="159" t="s">
        <v>152</v>
      </c>
      <c r="B109" s="327"/>
      <c r="C109" s="327"/>
      <c r="D109" s="327"/>
      <c r="E109" s="327"/>
      <c r="F109" s="328"/>
      <c r="G109" s="307"/>
      <c r="H109" s="308"/>
      <c r="I109" s="308"/>
      <c r="J109" s="308"/>
      <c r="K109" s="307"/>
      <c r="L109" s="309"/>
      <c r="M109" s="310"/>
      <c r="N109" s="310"/>
      <c r="O109" s="310"/>
      <c r="P109" s="309"/>
      <c r="Q109" s="309"/>
      <c r="R109" s="310"/>
      <c r="S109" s="312"/>
      <c r="T109" s="312"/>
      <c r="U109" s="309"/>
    </row>
    <row r="110" spans="1:21">
      <c r="A110" s="159"/>
      <c r="B110" s="327"/>
      <c r="C110" s="327"/>
      <c r="D110" s="327"/>
      <c r="E110" s="327"/>
      <c r="F110" s="328"/>
      <c r="G110" s="307"/>
      <c r="H110" s="308"/>
      <c r="I110" s="308"/>
      <c r="J110" s="308"/>
      <c r="K110" s="307"/>
      <c r="L110" s="309"/>
      <c r="M110" s="310"/>
      <c r="N110" s="310"/>
      <c r="O110" s="310"/>
      <c r="P110" s="309"/>
      <c r="Q110" s="309"/>
      <c r="R110" s="310"/>
      <c r="S110" s="312"/>
      <c r="T110" s="312"/>
      <c r="U110" s="309"/>
    </row>
    <row r="111" spans="1:21" s="421" customFormat="1">
      <c r="A111" s="415" t="s">
        <v>238</v>
      </c>
      <c r="B111" s="442"/>
      <c r="C111" s="442"/>
      <c r="D111" s="442"/>
      <c r="E111" s="442"/>
      <c r="F111" s="443"/>
      <c r="G111" s="449"/>
      <c r="H111" s="450"/>
      <c r="I111" s="450"/>
      <c r="J111" s="450"/>
      <c r="K111" s="449"/>
      <c r="L111" s="451"/>
      <c r="M111" s="452"/>
      <c r="N111" s="452"/>
      <c r="O111" s="452"/>
      <c r="P111" s="451"/>
      <c r="Q111" s="451"/>
      <c r="R111" s="452"/>
      <c r="S111" s="453"/>
      <c r="T111" s="453"/>
      <c r="U111" s="451"/>
    </row>
    <row r="112" spans="1:21">
      <c r="A112" s="159" t="s">
        <v>184</v>
      </c>
      <c r="B112" s="327"/>
      <c r="C112" s="327"/>
      <c r="D112" s="327"/>
      <c r="E112" s="327"/>
      <c r="F112" s="328"/>
      <c r="G112" s="307">
        <v>0.2908204327911581</v>
      </c>
      <c r="H112" s="308">
        <v>0.39214674351759959</v>
      </c>
      <c r="I112" s="308">
        <v>1.114735193970914</v>
      </c>
      <c r="J112" s="308">
        <v>2.4476246229363028</v>
      </c>
      <c r="K112" s="307">
        <v>1.1496786637188792</v>
      </c>
      <c r="L112" s="309">
        <v>2.519490778251956</v>
      </c>
      <c r="M112" s="310">
        <v>2.043999676023605</v>
      </c>
      <c r="N112" s="310">
        <v>0.89684367296860756</v>
      </c>
      <c r="O112" s="310">
        <v>1.6416944511670861E-2</v>
      </c>
      <c r="P112" s="309">
        <v>0.85958869558655282</v>
      </c>
      <c r="Q112" s="309">
        <v>0.10596029555055986</v>
      </c>
      <c r="R112" s="310">
        <v>0.15048458201390424</v>
      </c>
      <c r="S112" s="312">
        <v>0.183</v>
      </c>
      <c r="T112" s="312">
        <v>0.192</v>
      </c>
      <c r="U112" s="309">
        <v>0.159</v>
      </c>
    </row>
    <row r="113" spans="1:21">
      <c r="A113" s="159" t="s">
        <v>185</v>
      </c>
      <c r="B113" s="327"/>
      <c r="C113" s="327"/>
      <c r="D113" s="327"/>
      <c r="E113" s="327"/>
      <c r="F113" s="328"/>
      <c r="G113" s="307">
        <v>7.6505886952886737E-2</v>
      </c>
      <c r="H113" s="308">
        <v>0.10065447893284429</v>
      </c>
      <c r="I113" s="308">
        <v>-6.8674412296895082E-2</v>
      </c>
      <c r="J113" s="308">
        <v>3.7557738539650831E-2</v>
      </c>
      <c r="K113" s="307">
        <v>3.2384646017039609E-2</v>
      </c>
      <c r="L113" s="309">
        <v>1.8986860454732746E-2</v>
      </c>
      <c r="M113" s="310">
        <v>2.5600028077323422E-2</v>
      </c>
      <c r="N113" s="310">
        <v>3.1826310282865977E-2</v>
      </c>
      <c r="O113" s="310">
        <v>0.16450040267102972</v>
      </c>
      <c r="P113" s="309">
        <v>5.9456540257937673E-2</v>
      </c>
      <c r="Q113" s="309">
        <v>0.12766154124721485</v>
      </c>
      <c r="R113" s="310">
        <v>0.1052977935915238</v>
      </c>
      <c r="S113" s="312">
        <v>0.21099999999999999</v>
      </c>
      <c r="T113" s="312">
        <v>0.16800000000000001</v>
      </c>
      <c r="U113" s="309">
        <v>0.154</v>
      </c>
    </row>
    <row r="114" spans="1:21">
      <c r="A114" s="159" t="s">
        <v>31</v>
      </c>
      <c r="B114" s="327"/>
      <c r="C114" s="327"/>
      <c r="D114" s="327"/>
      <c r="E114" s="327"/>
      <c r="F114" s="328"/>
      <c r="G114" s="307">
        <v>0.13747236811519259</v>
      </c>
      <c r="H114" s="308">
        <v>0.13602076576743438</v>
      </c>
      <c r="I114" s="308">
        <v>9.4151712426083112E-2</v>
      </c>
      <c r="J114" s="308">
        <v>6.9796886888956466E-2</v>
      </c>
      <c r="K114" s="307">
        <v>0.1079035069744072</v>
      </c>
      <c r="L114" s="309">
        <v>4.94481003876448E-2</v>
      </c>
      <c r="M114" s="310">
        <v>8.3311318602317108E-3</v>
      </c>
      <c r="N114" s="310">
        <v>-3.0744850358519704E-2</v>
      </c>
      <c r="O114" s="310">
        <v>6.3011696858084276E-2</v>
      </c>
      <c r="P114" s="309">
        <v>2.1321199990674389E-2</v>
      </c>
      <c r="Q114" s="309">
        <v>0.1144672953240109</v>
      </c>
      <c r="R114" s="310">
        <v>4.1856996550150516E-2</v>
      </c>
      <c r="S114" s="312">
        <v>2.3E-2</v>
      </c>
      <c r="T114" s="312">
        <v>1.4E-2</v>
      </c>
      <c r="U114" s="309">
        <v>4.4999999999999998E-2</v>
      </c>
    </row>
    <row r="115" spans="1:21" hidden="1" outlineLevel="1">
      <c r="A115" s="159" t="s">
        <v>94</v>
      </c>
      <c r="B115" s="327"/>
      <c r="C115" s="327"/>
      <c r="D115" s="327"/>
      <c r="E115" s="327"/>
      <c r="F115" s="328"/>
      <c r="G115" s="307"/>
      <c r="H115" s="308"/>
      <c r="I115" s="308"/>
      <c r="J115" s="308"/>
      <c r="K115" s="307"/>
      <c r="L115" s="309"/>
      <c r="M115" s="310"/>
      <c r="N115" s="310"/>
      <c r="O115" s="310"/>
      <c r="P115" s="309"/>
      <c r="Q115" s="309"/>
      <c r="R115" s="310"/>
      <c r="S115" s="312"/>
      <c r="T115" s="312"/>
      <c r="U115" s="309"/>
    </row>
    <row r="116" spans="1:21" collapsed="1">
      <c r="A116" s="159" t="s">
        <v>28</v>
      </c>
      <c r="B116" s="327"/>
      <c r="C116" s="327"/>
      <c r="D116" s="327"/>
      <c r="E116" s="327"/>
      <c r="F116" s="328"/>
      <c r="G116" s="307">
        <v>7.9104450347358579E-2</v>
      </c>
      <c r="H116" s="308">
        <v>0.11779346957741588</v>
      </c>
      <c r="I116" s="308">
        <v>0.18861462151659625</v>
      </c>
      <c r="J116" s="308">
        <v>4.4922746856831619E-2</v>
      </c>
      <c r="K116" s="307">
        <v>0.10424927486434754</v>
      </c>
      <c r="L116" s="309">
        <v>6.5264774586329066E-2</v>
      </c>
      <c r="M116" s="310">
        <v>7.1306902061545774E-2</v>
      </c>
      <c r="N116" s="310">
        <v>3.7456845817371187E-2</v>
      </c>
      <c r="O116" s="310">
        <v>0.21567505760394834</v>
      </c>
      <c r="P116" s="309">
        <v>0.10633560257710228</v>
      </c>
      <c r="Q116" s="309">
        <v>0.11251430823580222</v>
      </c>
      <c r="R116" s="310">
        <v>0.10255704945605149</v>
      </c>
      <c r="S116" s="312">
        <v>0.16600000000000001</v>
      </c>
      <c r="T116" s="312">
        <v>0.16600000000000001</v>
      </c>
      <c r="U116" s="309">
        <v>0.14199999999999999</v>
      </c>
    </row>
    <row r="117" spans="1:21">
      <c r="A117" s="159" t="s">
        <v>27</v>
      </c>
      <c r="B117" s="327"/>
      <c r="C117" s="327"/>
      <c r="D117" s="327"/>
      <c r="E117" s="327"/>
      <c r="F117" s="328"/>
      <c r="G117" s="307">
        <v>3.4832135352599103E-2</v>
      </c>
      <c r="H117" s="308">
        <v>0.24464303591713321</v>
      </c>
      <c r="I117" s="308">
        <v>0.23697032540332952</v>
      </c>
      <c r="J117" s="308">
        <v>0.226278911420563</v>
      </c>
      <c r="K117" s="307">
        <v>0.1986737694605587</v>
      </c>
      <c r="L117" s="309">
        <v>0.17852906066866803</v>
      </c>
      <c r="M117" s="310">
        <v>-0.16048154607959153</v>
      </c>
      <c r="N117" s="310">
        <v>-0.19925982559272648</v>
      </c>
      <c r="O117" s="310">
        <v>0.35014463587482059</v>
      </c>
      <c r="P117" s="309">
        <v>3.4591064960317608E-2</v>
      </c>
      <c r="Q117" s="309">
        <v>-4.3799050584145571E-2</v>
      </c>
      <c r="R117" s="310">
        <v>0.45042743708601307</v>
      </c>
      <c r="S117" s="312">
        <v>0.32600000000000001</v>
      </c>
      <c r="T117" s="312">
        <v>-8.4000000000000005E-2</v>
      </c>
      <c r="U117" s="309">
        <v>0.124</v>
      </c>
    </row>
    <row r="118" spans="1:21">
      <c r="A118" s="159" t="s">
        <v>187</v>
      </c>
      <c r="B118" s="327"/>
      <c r="C118" s="327"/>
      <c r="D118" s="327"/>
      <c r="E118" s="327"/>
      <c r="F118" s="328"/>
      <c r="G118" s="307">
        <v>0</v>
      </c>
      <c r="H118" s="308">
        <v>0</v>
      </c>
      <c r="I118" s="308">
        <v>0</v>
      </c>
      <c r="J118" s="308">
        <v>1</v>
      </c>
      <c r="K118" s="307">
        <v>1</v>
      </c>
      <c r="L118" s="309">
        <v>1</v>
      </c>
      <c r="M118" s="310">
        <v>1</v>
      </c>
      <c r="N118" s="310">
        <v>1</v>
      </c>
      <c r="O118" s="310">
        <v>-0.55069349036484727</v>
      </c>
      <c r="P118" s="309">
        <v>1.1213994304708792</v>
      </c>
      <c r="Q118" s="309">
        <v>1.8904080911598271</v>
      </c>
      <c r="R118" s="310">
        <v>0.48398174943152883</v>
      </c>
      <c r="S118" s="312">
        <v>-0.42499999999999999</v>
      </c>
      <c r="T118" s="312">
        <v>-0.72899999999999998</v>
      </c>
      <c r="U118" s="309">
        <v>-4.3999999999999997E-2</v>
      </c>
    </row>
    <row r="119" spans="1:21" s="19" customFormat="1">
      <c r="A119" s="217" t="s">
        <v>29</v>
      </c>
      <c r="B119" s="329"/>
      <c r="C119" s="329"/>
      <c r="D119" s="329"/>
      <c r="E119" s="329"/>
      <c r="F119" s="330"/>
      <c r="G119" s="313">
        <v>-0.52326492349487319</v>
      </c>
      <c r="H119" s="314">
        <v>5.8559193913805041E-2</v>
      </c>
      <c r="I119" s="314">
        <v>0.15587408760841748</v>
      </c>
      <c r="J119" s="314">
        <v>-0.29696884937129231</v>
      </c>
      <c r="K119" s="313">
        <v>-0.22008572507233504</v>
      </c>
      <c r="L119" s="315">
        <v>-0.27917451861760634</v>
      </c>
      <c r="M119" s="316">
        <v>0.42732423767248973</v>
      </c>
      <c r="N119" s="316">
        <v>1.0823951746649763</v>
      </c>
      <c r="O119" s="316">
        <v>0.75759085880028176</v>
      </c>
      <c r="P119" s="315">
        <v>0.52340940891115628</v>
      </c>
      <c r="Q119" s="315">
        <v>0.85246496943467398</v>
      </c>
      <c r="R119" s="316">
        <v>-0.31886790233721307</v>
      </c>
      <c r="S119" s="86">
        <v>-0.51700000000000002</v>
      </c>
      <c r="T119" s="86">
        <v>-0.13</v>
      </c>
      <c r="U119" s="315">
        <v>-0.218</v>
      </c>
    </row>
    <row r="120" spans="1:21">
      <c r="A120" s="219" t="s">
        <v>188</v>
      </c>
      <c r="B120" s="327"/>
      <c r="C120" s="327"/>
      <c r="D120" s="327"/>
      <c r="E120" s="327"/>
      <c r="F120" s="328"/>
      <c r="G120" s="317">
        <v>7.6794237987249492E-2</v>
      </c>
      <c r="H120" s="318">
        <v>0.17566776305717657</v>
      </c>
      <c r="I120" s="318">
        <v>0.22780434455847254</v>
      </c>
      <c r="J120" s="318">
        <v>0.27474432270672056</v>
      </c>
      <c r="K120" s="317">
        <v>0.19881498472672532</v>
      </c>
      <c r="L120" s="319">
        <v>0.32638216964897104</v>
      </c>
      <c r="M120" s="320">
        <v>0.16134018870227762</v>
      </c>
      <c r="N120" s="320">
        <v>7.5469060563303714E-2</v>
      </c>
      <c r="O120" s="320">
        <v>0.19347082804008608</v>
      </c>
      <c r="P120" s="319">
        <v>0.17924128472566925</v>
      </c>
      <c r="Q120" s="319">
        <v>8.127050374426692E-2</v>
      </c>
      <c r="R120" s="320">
        <v>0.1789263783167232</v>
      </c>
      <c r="S120" s="321">
        <v>0.183</v>
      </c>
      <c r="T120" s="321">
        <v>7.1999999999999995E-2</v>
      </c>
      <c r="U120" s="319">
        <v>0.126</v>
      </c>
    </row>
    <row r="121" spans="1:21">
      <c r="A121" s="159" t="s">
        <v>49</v>
      </c>
      <c r="B121" s="327"/>
      <c r="C121" s="327"/>
      <c r="D121" s="327"/>
      <c r="E121" s="327"/>
      <c r="F121" s="328"/>
      <c r="G121" s="307"/>
      <c r="H121" s="308"/>
      <c r="I121" s="308"/>
      <c r="J121" s="308"/>
      <c r="K121" s="307"/>
      <c r="L121" s="309"/>
      <c r="M121" s="310"/>
      <c r="N121" s="310"/>
      <c r="O121" s="310"/>
      <c r="P121" s="309"/>
      <c r="Q121" s="309"/>
      <c r="R121" s="310"/>
      <c r="S121" s="312"/>
      <c r="T121" s="312"/>
      <c r="U121" s="309"/>
    </row>
    <row r="122" spans="1:21">
      <c r="A122" s="159" t="s">
        <v>152</v>
      </c>
      <c r="B122" s="327"/>
      <c r="C122" s="327"/>
      <c r="D122" s="327"/>
      <c r="E122" s="327"/>
      <c r="F122" s="328"/>
      <c r="G122" s="307"/>
      <c r="H122" s="308"/>
      <c r="I122" s="308"/>
      <c r="J122" s="308"/>
      <c r="K122" s="307"/>
      <c r="L122" s="309"/>
      <c r="M122" s="310"/>
      <c r="N122" s="310"/>
      <c r="O122" s="310"/>
      <c r="P122" s="309"/>
      <c r="Q122" s="309"/>
      <c r="R122" s="310"/>
      <c r="S122" s="312"/>
      <c r="T122" s="312"/>
      <c r="U122" s="309"/>
    </row>
    <row r="123" spans="1:21">
      <c r="A123" s="159"/>
      <c r="B123" s="327"/>
      <c r="C123" s="327"/>
      <c r="D123" s="327"/>
      <c r="E123" s="327"/>
      <c r="F123" s="328"/>
      <c r="G123" s="307"/>
      <c r="H123" s="308"/>
      <c r="I123" s="308"/>
      <c r="J123" s="308"/>
      <c r="K123" s="307"/>
      <c r="L123" s="309"/>
      <c r="M123" s="310"/>
      <c r="N123" s="310"/>
      <c r="O123" s="310"/>
      <c r="P123" s="309"/>
      <c r="Q123" s="309"/>
      <c r="R123" s="310"/>
      <c r="S123" s="312"/>
      <c r="T123" s="312"/>
      <c r="U123" s="309"/>
    </row>
    <row r="124" spans="1:21">
      <c r="A124" s="369" t="s">
        <v>239</v>
      </c>
      <c r="B124" s="348"/>
      <c r="C124" s="348"/>
      <c r="D124" s="348"/>
      <c r="E124" s="348"/>
      <c r="F124" s="349"/>
      <c r="G124" s="350"/>
      <c r="H124" s="351"/>
      <c r="I124" s="351"/>
      <c r="J124" s="351"/>
      <c r="K124" s="350"/>
      <c r="L124" s="352"/>
      <c r="M124" s="353"/>
      <c r="N124" s="353"/>
      <c r="O124" s="353"/>
      <c r="P124" s="352"/>
      <c r="Q124" s="352"/>
      <c r="R124" s="353"/>
      <c r="S124" s="354"/>
      <c r="T124" s="354"/>
      <c r="U124" s="352"/>
    </row>
    <row r="125" spans="1:21">
      <c r="A125" s="159" t="s">
        <v>184</v>
      </c>
      <c r="B125" s="327"/>
      <c r="C125" s="327"/>
      <c r="D125" s="327"/>
      <c r="E125" s="327"/>
      <c r="F125" s="328"/>
      <c r="G125" s="307">
        <f t="shared" ref="G125:U127" si="67">+G31/B31-1</f>
        <v>0.2213114754098362</v>
      </c>
      <c r="H125" s="308">
        <f t="shared" si="67"/>
        <v>0.28148148148148144</v>
      </c>
      <c r="I125" s="308">
        <f t="shared" si="67"/>
        <v>0.99290780141843982</v>
      </c>
      <c r="J125" s="308">
        <f t="shared" si="67"/>
        <v>2.3619631901840488</v>
      </c>
      <c r="K125" s="307">
        <f t="shared" si="67"/>
        <v>1.0516934046345812</v>
      </c>
      <c r="L125" s="309">
        <f t="shared" si="67"/>
        <v>2.4563758389261743</v>
      </c>
      <c r="M125" s="310">
        <f t="shared" si="67"/>
        <v>2.0231213872832368</v>
      </c>
      <c r="N125" s="310">
        <f t="shared" si="67"/>
        <v>0.91814946619217075</v>
      </c>
      <c r="O125" s="310">
        <f t="shared" si="67"/>
        <v>2.007299270072993E-2</v>
      </c>
      <c r="P125" s="309">
        <f t="shared" si="67"/>
        <v>0.85577758470894882</v>
      </c>
      <c r="Q125" s="309">
        <f t="shared" si="67"/>
        <v>9.7087378640776656E-2</v>
      </c>
      <c r="R125" s="310">
        <f t="shared" si="67"/>
        <v>0.13575525812619516</v>
      </c>
      <c r="S125" s="310">
        <f t="shared" si="67"/>
        <v>0.17625231910946204</v>
      </c>
      <c r="T125" s="310">
        <f t="shared" si="67"/>
        <v>0.20930232558139528</v>
      </c>
      <c r="U125" s="309">
        <f t="shared" si="67"/>
        <v>0.1558988764044944</v>
      </c>
    </row>
    <row r="126" spans="1:21">
      <c r="A126" s="159" t="s">
        <v>185</v>
      </c>
      <c r="B126" s="327"/>
      <c r="C126" s="327"/>
      <c r="D126" s="327"/>
      <c r="E126" s="327"/>
      <c r="F126" s="328"/>
      <c r="G126" s="307">
        <f t="shared" si="67"/>
        <v>-5.5555555555556468E-3</v>
      </c>
      <c r="H126" s="308">
        <f t="shared" si="67"/>
        <v>-2.1857923497267895E-2</v>
      </c>
      <c r="I126" s="308">
        <f t="shared" si="67"/>
        <v>-0.19431279620853081</v>
      </c>
      <c r="J126" s="308">
        <f t="shared" si="67"/>
        <v>-7.0652173913043348E-2</v>
      </c>
      <c r="K126" s="307">
        <f t="shared" si="67"/>
        <v>-7.7836411609498612E-2</v>
      </c>
      <c r="L126" s="309">
        <f t="shared" si="67"/>
        <v>-4.469273743016744E-2</v>
      </c>
      <c r="M126" s="310">
        <f t="shared" si="67"/>
        <v>2.2346368715083997E-2</v>
      </c>
      <c r="N126" s="310">
        <f t="shared" si="67"/>
        <v>7.6470588235294068E-2</v>
      </c>
      <c r="O126" s="310">
        <f t="shared" si="67"/>
        <v>0.21637426900584789</v>
      </c>
      <c r="P126" s="309">
        <f t="shared" si="67"/>
        <v>6.5808297567954144E-2</v>
      </c>
      <c r="Q126" s="309">
        <f t="shared" si="67"/>
        <v>0.15204678362573087</v>
      </c>
      <c r="R126" s="310">
        <f t="shared" si="67"/>
        <v>9.2896174863387859E-2</v>
      </c>
      <c r="S126" s="310">
        <f t="shared" si="67"/>
        <v>0.20765027322404372</v>
      </c>
      <c r="T126" s="310">
        <f t="shared" si="67"/>
        <v>0.16826923076923084</v>
      </c>
      <c r="U126" s="309">
        <f t="shared" si="67"/>
        <v>0.15570469798657727</v>
      </c>
    </row>
    <row r="127" spans="1:21">
      <c r="A127" s="159" t="s">
        <v>31</v>
      </c>
      <c r="B127" s="327"/>
      <c r="C127" s="327"/>
      <c r="D127" s="327"/>
      <c r="E127" s="327"/>
      <c r="F127" s="328"/>
      <c r="G127" s="307">
        <f t="shared" si="67"/>
        <v>2.5751072961373245E-2</v>
      </c>
      <c r="H127" s="308">
        <f t="shared" si="67"/>
        <v>-3.5143769968051131E-2</v>
      </c>
      <c r="I127" s="308">
        <f t="shared" si="67"/>
        <v>-0.11111111111111116</v>
      </c>
      <c r="J127" s="308">
        <f t="shared" si="67"/>
        <v>-9.3023255813953543E-2</v>
      </c>
      <c r="K127" s="307">
        <f t="shared" si="67"/>
        <v>-5.8109280138768593E-2</v>
      </c>
      <c r="L127" s="309">
        <f t="shared" si="67"/>
        <v>-3.34728033472802E-2</v>
      </c>
      <c r="M127" s="310">
        <f t="shared" si="67"/>
        <v>-1.9867549668874052E-2</v>
      </c>
      <c r="N127" s="310">
        <f t="shared" si="67"/>
        <v>-3.67647058823517E-3</v>
      </c>
      <c r="O127" s="310">
        <f t="shared" si="67"/>
        <v>0.11355311355311337</v>
      </c>
      <c r="P127" s="309">
        <f t="shared" si="67"/>
        <v>1.4732965009208288E-2</v>
      </c>
      <c r="Q127" s="309">
        <f t="shared" si="67"/>
        <v>0.16017316017316019</v>
      </c>
      <c r="R127" s="310">
        <f t="shared" si="67"/>
        <v>4.3918918918918859E-2</v>
      </c>
      <c r="S127" s="310">
        <f t="shared" si="67"/>
        <v>5.1660516605166018E-2</v>
      </c>
      <c r="T127" s="310">
        <f t="shared" si="67"/>
        <v>2.6315789473684292E-2</v>
      </c>
      <c r="U127" s="309">
        <f t="shared" si="67"/>
        <v>6.5335753176043454E-2</v>
      </c>
    </row>
    <row r="128" spans="1:21">
      <c r="A128" s="159" t="s">
        <v>28</v>
      </c>
      <c r="B128" s="327"/>
      <c r="C128" s="327"/>
      <c r="D128" s="327"/>
      <c r="E128" s="327"/>
      <c r="F128" s="328"/>
      <c r="G128" s="307">
        <f t="shared" ref="G128:U129" si="68">+G35/B35-1</f>
        <v>3.8240917782026429E-3</v>
      </c>
      <c r="H128" s="308">
        <f t="shared" si="68"/>
        <v>4.2918454935620964E-3</v>
      </c>
      <c r="I128" s="308">
        <f t="shared" si="68"/>
        <v>3.1930333817126177E-2</v>
      </c>
      <c r="J128" s="308">
        <f t="shared" si="68"/>
        <v>-5.1254089422028359E-2</v>
      </c>
      <c r="K128" s="307">
        <f t="shared" si="68"/>
        <v>-7.0721357850070943E-3</v>
      </c>
      <c r="L128" s="309">
        <f t="shared" si="68"/>
        <v>1.904761904761898E-2</v>
      </c>
      <c r="M128" s="310">
        <f t="shared" si="68"/>
        <v>5.8404558404558271E-2</v>
      </c>
      <c r="N128" s="310">
        <f t="shared" si="68"/>
        <v>6.7510548523206815E-2</v>
      </c>
      <c r="O128" s="310">
        <f t="shared" si="68"/>
        <v>0.24712643678160928</v>
      </c>
      <c r="P128" s="309">
        <f t="shared" si="68"/>
        <v>0.11182336182336172</v>
      </c>
      <c r="Q128" s="309">
        <f t="shared" si="68"/>
        <v>0.13084112149532712</v>
      </c>
      <c r="R128" s="310">
        <f t="shared" si="68"/>
        <v>9.8250336473755029E-2</v>
      </c>
      <c r="S128" s="310">
        <f t="shared" si="68"/>
        <v>0.16732542819499319</v>
      </c>
      <c r="T128" s="310">
        <f t="shared" si="68"/>
        <v>0.17419354838709689</v>
      </c>
      <c r="U128" s="309">
        <f t="shared" si="68"/>
        <v>0.14702114029468305</v>
      </c>
    </row>
    <row r="129" spans="1:21">
      <c r="A129" s="159" t="s">
        <v>27</v>
      </c>
      <c r="B129" s="327"/>
      <c r="C129" s="327"/>
      <c r="D129" s="327"/>
      <c r="E129" s="327"/>
      <c r="F129" s="328"/>
      <c r="G129" s="307">
        <f t="shared" si="68"/>
        <v>-6.8181818181818232E-2</v>
      </c>
      <c r="H129" s="308">
        <f t="shared" si="68"/>
        <v>8.0341880341880501E-2</v>
      </c>
      <c r="I129" s="308">
        <f t="shared" si="68"/>
        <v>2.8943560057887119E-2</v>
      </c>
      <c r="J129" s="308">
        <f t="shared" si="68"/>
        <v>7.038123167155419E-2</v>
      </c>
      <c r="K129" s="307">
        <f t="shared" si="68"/>
        <v>3.5446205170975853E-2</v>
      </c>
      <c r="L129" s="309">
        <f t="shared" si="68"/>
        <v>0.1195121951219511</v>
      </c>
      <c r="M129" s="310">
        <f t="shared" si="68"/>
        <v>-0.17879746835443044</v>
      </c>
      <c r="N129" s="310">
        <f t="shared" si="68"/>
        <v>-0.1547116736990154</v>
      </c>
      <c r="O129" s="310">
        <f t="shared" si="68"/>
        <v>0.41643835616438363</v>
      </c>
      <c r="P129" s="309">
        <f t="shared" si="68"/>
        <v>5.2356020942408321E-2</v>
      </c>
      <c r="Q129" s="309">
        <f t="shared" si="68"/>
        <v>-1.525054466230924E-2</v>
      </c>
      <c r="R129" s="310">
        <f t="shared" si="68"/>
        <v>0.45086705202312127</v>
      </c>
      <c r="S129" s="310">
        <f t="shared" si="68"/>
        <v>0.3344425956738768</v>
      </c>
      <c r="T129" s="310">
        <f t="shared" si="68"/>
        <v>-7.4468085106383031E-2</v>
      </c>
      <c r="U129" s="309">
        <f t="shared" si="68"/>
        <v>0.13432835820895517</v>
      </c>
    </row>
    <row r="130" spans="1:21">
      <c r="A130" s="159" t="s">
        <v>187</v>
      </c>
      <c r="B130" s="327"/>
      <c r="C130" s="327"/>
      <c r="D130" s="327"/>
      <c r="E130" s="327"/>
      <c r="F130" s="328"/>
      <c r="G130" s="307">
        <v>0</v>
      </c>
      <c r="H130" s="308">
        <v>0</v>
      </c>
      <c r="I130" s="308">
        <v>0</v>
      </c>
      <c r="J130" s="308">
        <v>1</v>
      </c>
      <c r="K130" s="307">
        <v>1</v>
      </c>
      <c r="L130" s="309">
        <v>1</v>
      </c>
      <c r="M130" s="310">
        <v>1</v>
      </c>
      <c r="N130" s="310">
        <v>1</v>
      </c>
      <c r="O130" s="310">
        <f t="shared" ref="O130:U132" si="69">+O37/J37-1</f>
        <v>-0.5</v>
      </c>
      <c r="P130" s="309">
        <f t="shared" si="69"/>
        <v>1.2000000000000002</v>
      </c>
      <c r="Q130" s="309">
        <f t="shared" si="69"/>
        <v>1.5</v>
      </c>
      <c r="R130" s="310">
        <f t="shared" si="69"/>
        <v>0.5</v>
      </c>
      <c r="S130" s="310">
        <f t="shared" si="69"/>
        <v>-0.44444444444444442</v>
      </c>
      <c r="T130" s="310">
        <f t="shared" si="69"/>
        <v>-0.8</v>
      </c>
      <c r="U130" s="309">
        <f t="shared" si="69"/>
        <v>-9.0909090909090939E-2</v>
      </c>
    </row>
    <row r="131" spans="1:21" s="19" customFormat="1">
      <c r="A131" s="217" t="s">
        <v>29</v>
      </c>
      <c r="B131" s="329"/>
      <c r="C131" s="329"/>
      <c r="D131" s="329"/>
      <c r="E131" s="329"/>
      <c r="F131" s="330"/>
      <c r="G131" s="313">
        <f t="shared" ref="G131:N132" si="70">+G38/B38-1</f>
        <v>-0.57894736842105265</v>
      </c>
      <c r="H131" s="314">
        <f t="shared" si="70"/>
        <v>-8.0000000000000071E-2</v>
      </c>
      <c r="I131" s="314">
        <f t="shared" si="70"/>
        <v>0.11111111111111116</v>
      </c>
      <c r="J131" s="314">
        <f t="shared" si="70"/>
        <v>-0.33333333333333337</v>
      </c>
      <c r="K131" s="313">
        <f t="shared" si="70"/>
        <v>-0.28828828828828823</v>
      </c>
      <c r="L131" s="315">
        <f t="shared" si="70"/>
        <v>-0.25000000000000011</v>
      </c>
      <c r="M131" s="316">
        <f t="shared" si="70"/>
        <v>0.47826086956521752</v>
      </c>
      <c r="N131" s="316">
        <f t="shared" si="70"/>
        <v>1.1000000000000001</v>
      </c>
      <c r="O131" s="316">
        <f t="shared" si="69"/>
        <v>0.8</v>
      </c>
      <c r="P131" s="315">
        <f t="shared" si="69"/>
        <v>0.56962025316455689</v>
      </c>
      <c r="Q131" s="315">
        <f t="shared" si="69"/>
        <v>0.83333333333333348</v>
      </c>
      <c r="R131" s="316">
        <f t="shared" si="69"/>
        <v>-0.32352941176470595</v>
      </c>
      <c r="S131" s="316">
        <f t="shared" si="69"/>
        <v>-0.54761904761904967</v>
      </c>
      <c r="T131" s="316">
        <f t="shared" si="69"/>
        <v>-0.13888888888888884</v>
      </c>
      <c r="U131" s="315">
        <f t="shared" si="69"/>
        <v>-0.23387096774193628</v>
      </c>
    </row>
    <row r="132" spans="1:21">
      <c r="A132" s="219" t="s">
        <v>188</v>
      </c>
      <c r="B132" s="331"/>
      <c r="C132" s="331"/>
      <c r="D132" s="331"/>
      <c r="E132" s="331"/>
      <c r="F132" s="332"/>
      <c r="G132" s="317">
        <f t="shared" si="70"/>
        <v>-1.1718750000000222E-2</v>
      </c>
      <c r="H132" s="318">
        <f t="shared" si="70"/>
        <v>3.6597938144329989E-2</v>
      </c>
      <c r="I132" s="318">
        <f t="shared" si="70"/>
        <v>5.3015564202334442E-2</v>
      </c>
      <c r="J132" s="318">
        <f t="shared" si="70"/>
        <v>0.1515151515151516</v>
      </c>
      <c r="K132" s="317">
        <f t="shared" si="70"/>
        <v>6.4925086438724522E-2</v>
      </c>
      <c r="L132" s="319">
        <f t="shared" si="70"/>
        <v>0.26811594202898537</v>
      </c>
      <c r="M132" s="320">
        <f t="shared" si="70"/>
        <v>0.1456986573843857</v>
      </c>
      <c r="N132" s="320">
        <f t="shared" si="70"/>
        <v>0.11039260969976916</v>
      </c>
      <c r="O132" s="320">
        <f t="shared" si="69"/>
        <v>0.23226544622425638</v>
      </c>
      <c r="P132" s="319">
        <f t="shared" si="69"/>
        <v>0.18614718614718617</v>
      </c>
      <c r="Q132" s="319">
        <f t="shared" si="69"/>
        <v>9.8181818181818148E-2</v>
      </c>
      <c r="R132" s="320">
        <f t="shared" si="69"/>
        <v>0.17361111111111094</v>
      </c>
      <c r="S132" s="320">
        <f t="shared" si="69"/>
        <v>0.18635607321131431</v>
      </c>
      <c r="T132" s="320">
        <f t="shared" si="69"/>
        <v>8.1398947694212298E-2</v>
      </c>
      <c r="U132" s="319">
        <f t="shared" si="69"/>
        <v>0.13179237631792384</v>
      </c>
    </row>
    <row r="133" spans="1:21">
      <c r="A133" s="159" t="s">
        <v>49</v>
      </c>
      <c r="B133" s="327"/>
      <c r="C133" s="327"/>
      <c r="D133" s="327"/>
      <c r="E133" s="327"/>
      <c r="F133" s="328"/>
      <c r="G133" s="307"/>
      <c r="H133" s="308"/>
      <c r="I133" s="308"/>
      <c r="J133" s="308"/>
      <c r="K133" s="307"/>
      <c r="L133" s="309"/>
      <c r="M133" s="310"/>
      <c r="N133" s="310"/>
      <c r="O133" s="310"/>
      <c r="P133" s="309"/>
      <c r="Q133" s="309"/>
      <c r="R133" s="310"/>
      <c r="S133" s="312"/>
      <c r="T133" s="312"/>
      <c r="U133" s="309"/>
    </row>
    <row r="134" spans="1:21">
      <c r="A134" s="159" t="s">
        <v>152</v>
      </c>
      <c r="B134" s="327"/>
      <c r="C134" s="327"/>
      <c r="D134" s="327"/>
      <c r="E134" s="327"/>
      <c r="F134" s="328"/>
      <c r="G134" s="307"/>
      <c r="H134" s="308"/>
      <c r="I134" s="308"/>
      <c r="J134" s="308"/>
      <c r="K134" s="307"/>
      <c r="L134" s="309"/>
      <c r="M134" s="310"/>
      <c r="N134" s="310"/>
      <c r="O134" s="310"/>
      <c r="P134" s="309"/>
      <c r="Q134" s="309"/>
      <c r="R134" s="310"/>
      <c r="S134" s="312"/>
      <c r="T134" s="312"/>
      <c r="U134" s="309"/>
    </row>
    <row r="135" spans="1:21">
      <c r="A135" s="159"/>
      <c r="B135" s="327"/>
      <c r="C135" s="327"/>
      <c r="D135" s="327"/>
      <c r="E135" s="327"/>
      <c r="F135" s="328"/>
      <c r="G135" s="307"/>
      <c r="H135" s="308"/>
      <c r="I135" s="308"/>
      <c r="J135" s="308"/>
      <c r="K135" s="307"/>
      <c r="L135" s="309"/>
      <c r="M135" s="310"/>
      <c r="N135" s="310"/>
      <c r="O135" s="310"/>
      <c r="P135" s="309"/>
      <c r="Q135" s="309"/>
      <c r="R135" s="310"/>
      <c r="S135" s="312"/>
      <c r="T135" s="312"/>
      <c r="U135" s="309"/>
    </row>
    <row r="136" spans="1:21" ht="27.6">
      <c r="A136" s="369" t="s">
        <v>240</v>
      </c>
      <c r="B136" s="348"/>
      <c r="C136" s="348"/>
      <c r="D136" s="348"/>
      <c r="E136" s="348"/>
      <c r="F136" s="349"/>
      <c r="G136" s="350"/>
      <c r="H136" s="351"/>
      <c r="I136" s="351"/>
      <c r="J136" s="351"/>
      <c r="K136" s="350"/>
      <c r="L136" s="352"/>
      <c r="M136" s="353"/>
      <c r="N136" s="353"/>
      <c r="O136" s="353"/>
      <c r="P136" s="352"/>
      <c r="Q136" s="352"/>
      <c r="R136" s="353"/>
      <c r="S136" s="354"/>
      <c r="T136" s="354"/>
      <c r="U136" s="352"/>
    </row>
    <row r="137" spans="1:21">
      <c r="A137" s="159" t="s">
        <v>189</v>
      </c>
      <c r="B137" s="327"/>
      <c r="C137" s="327"/>
      <c r="D137" s="327"/>
      <c r="E137" s="327"/>
      <c r="F137" s="328"/>
      <c r="G137" s="307">
        <v>4.4999999999999998E-2</v>
      </c>
      <c r="H137" s="308">
        <v>-5.8999999999999997E-2</v>
      </c>
      <c r="I137" s="308">
        <v>-1.0999999999999999E-2</v>
      </c>
      <c r="J137" s="308">
        <v>2.9000000000000001E-2</v>
      </c>
      <c r="K137" s="307">
        <v>-1E-3</v>
      </c>
      <c r="L137" s="309">
        <v>-3.5000000000000003E-2</v>
      </c>
      <c r="M137" s="310">
        <v>-4.0000000000000001E-3</v>
      </c>
      <c r="N137" s="310">
        <v>7.0000000000000007E-2</v>
      </c>
      <c r="O137" s="310">
        <v>-2.8000000000000001E-2</v>
      </c>
      <c r="P137" s="309">
        <v>0</v>
      </c>
      <c r="Q137" s="309">
        <v>-1.0999999999999999E-2</v>
      </c>
      <c r="R137" s="310">
        <v>-6.0614252697929416E-2</v>
      </c>
      <c r="S137" s="312">
        <v>-3.2000000000000001E-2</v>
      </c>
      <c r="T137" s="312">
        <v>8.3000000000000004E-2</v>
      </c>
      <c r="U137" s="309">
        <v>-7.0000000000000001E-3</v>
      </c>
    </row>
    <row r="138" spans="1:21">
      <c r="A138" s="159" t="s">
        <v>190</v>
      </c>
      <c r="B138" s="327"/>
      <c r="C138" s="327"/>
      <c r="D138" s="327"/>
      <c r="E138" s="327"/>
      <c r="F138" s="328"/>
      <c r="G138" s="307">
        <v>-0.188</v>
      </c>
      <c r="H138" s="308">
        <v>-0.47599999999999998</v>
      </c>
      <c r="I138" s="308">
        <v>-3.9E-2</v>
      </c>
      <c r="J138" s="308">
        <v>0.627</v>
      </c>
      <c r="K138" s="307">
        <v>-0.05</v>
      </c>
      <c r="L138" s="309">
        <v>-0.436</v>
      </c>
      <c r="M138" s="310">
        <v>0.14000000000000001</v>
      </c>
      <c r="N138" s="310">
        <v>-0.46800000000000003</v>
      </c>
      <c r="O138" s="310">
        <v>-0.50600000000000001</v>
      </c>
      <c r="P138" s="309">
        <v>-0.38600000000000001</v>
      </c>
      <c r="Q138" s="309">
        <v>0.218</v>
      </c>
      <c r="R138" s="310">
        <v>-1.4999999999999999E-2</v>
      </c>
      <c r="S138" s="312">
        <v>0.25</v>
      </c>
      <c r="T138" s="312">
        <v>-8.1000000000000003E-2</v>
      </c>
      <c r="U138" s="309">
        <v>6.2E-2</v>
      </c>
    </row>
    <row r="139" spans="1:21" s="19" customFormat="1">
      <c r="A139" s="217" t="s">
        <v>191</v>
      </c>
      <c r="B139" s="329"/>
      <c r="C139" s="329"/>
      <c r="D139" s="329"/>
      <c r="E139" s="329"/>
      <c r="F139" s="330"/>
      <c r="G139" s="313">
        <v>8.4332165378273878</v>
      </c>
      <c r="H139" s="314">
        <v>-0.91541463958589098</v>
      </c>
      <c r="I139" s="314">
        <v>28.506929193454997</v>
      </c>
      <c r="J139" s="314">
        <v>0.65040275791462232</v>
      </c>
      <c r="K139" s="313">
        <v>1.1667812706693153</v>
      </c>
      <c r="L139" s="315">
        <v>-0.71414296176040704</v>
      </c>
      <c r="M139" s="316">
        <v>1.2254620008277408</v>
      </c>
      <c r="N139" s="316">
        <v>-0.87762278848730957</v>
      </c>
      <c r="O139" s="316">
        <v>-0.98225384949671191</v>
      </c>
      <c r="P139" s="315">
        <v>-0.88751017336837845</v>
      </c>
      <c r="Q139" s="315">
        <v>0.72277894757182359</v>
      </c>
      <c r="R139" s="316">
        <v>4.3447998023443528</v>
      </c>
      <c r="S139" s="86">
        <v>8.0000000000000002E-3</v>
      </c>
      <c r="T139" s="86">
        <v>3.4630000000000001</v>
      </c>
      <c r="U139" s="315">
        <v>1.456</v>
      </c>
    </row>
    <row r="140" spans="1:21">
      <c r="A140" s="219" t="s">
        <v>152</v>
      </c>
      <c r="B140" s="327"/>
      <c r="C140" s="327"/>
      <c r="D140" s="327"/>
      <c r="E140" s="327"/>
      <c r="F140" s="328"/>
      <c r="G140" s="317">
        <v>5.3630469648574541E-2</v>
      </c>
      <c r="H140" s="318">
        <v>-0.18226463034814355</v>
      </c>
      <c r="I140" s="318">
        <v>0.18651594332613741</v>
      </c>
      <c r="J140" s="318">
        <v>0.22090357218500123</v>
      </c>
      <c r="K140" s="317">
        <v>6.4489941532997364E-2</v>
      </c>
      <c r="L140" s="319">
        <v>-0.14724606191912659</v>
      </c>
      <c r="M140" s="320">
        <v>2.0363868469225999E-2</v>
      </c>
      <c r="N140" s="320">
        <v>-0.1620401779138414</v>
      </c>
      <c r="O140" s="320">
        <v>-0.32508696917552327</v>
      </c>
      <c r="P140" s="319">
        <v>-0.17163430508074873</v>
      </c>
      <c r="Q140" s="319">
        <v>2.8944854613117688E-2</v>
      </c>
      <c r="R140" s="320">
        <v>7.5167162813538635E-3</v>
      </c>
      <c r="S140" s="321">
        <v>-8.9999999999999993E-3</v>
      </c>
      <c r="T140" s="321">
        <v>7.4999999999999997E-2</v>
      </c>
      <c r="U140" s="319">
        <v>2.5000000000000001E-2</v>
      </c>
    </row>
    <row r="141" spans="1:21">
      <c r="A141" s="159"/>
      <c r="B141" s="327"/>
      <c r="C141" s="327"/>
      <c r="D141" s="327"/>
      <c r="E141" s="327"/>
      <c r="F141" s="328"/>
      <c r="G141" s="307"/>
      <c r="H141" s="308"/>
      <c r="I141" s="308"/>
      <c r="J141" s="308"/>
      <c r="K141" s="307"/>
      <c r="L141" s="309"/>
      <c r="M141" s="310"/>
      <c r="N141" s="310"/>
      <c r="O141" s="310"/>
      <c r="P141" s="309"/>
      <c r="Q141" s="309"/>
      <c r="R141" s="310"/>
      <c r="S141" s="312"/>
      <c r="T141" s="312"/>
      <c r="U141" s="309"/>
    </row>
    <row r="142" spans="1:21" ht="27.6">
      <c r="A142" s="369" t="s">
        <v>241</v>
      </c>
      <c r="B142" s="355"/>
      <c r="C142" s="348"/>
      <c r="D142" s="348"/>
      <c r="E142" s="348"/>
      <c r="F142" s="349"/>
      <c r="G142" s="350"/>
      <c r="H142" s="351"/>
      <c r="I142" s="351"/>
      <c r="J142" s="351"/>
      <c r="K142" s="350"/>
      <c r="L142" s="352"/>
      <c r="M142" s="353"/>
      <c r="N142" s="353"/>
      <c r="O142" s="353"/>
      <c r="P142" s="352"/>
      <c r="Q142" s="352"/>
      <c r="R142" s="353"/>
      <c r="S142" s="354"/>
      <c r="T142" s="354"/>
      <c r="U142" s="352"/>
    </row>
    <row r="143" spans="1:21">
      <c r="A143" s="159" t="s">
        <v>189</v>
      </c>
      <c r="B143" s="327"/>
      <c r="C143" s="327"/>
      <c r="D143" s="327"/>
      <c r="E143" s="327"/>
      <c r="F143" s="328"/>
      <c r="G143" s="307">
        <f t="shared" ref="G143:U146" si="71">+G44/B44-1</f>
        <v>-3.0963302752293642E-2</v>
      </c>
      <c r="H143" s="308">
        <f t="shared" si="71"/>
        <v>-0.14196891191709848</v>
      </c>
      <c r="I143" s="308">
        <f t="shared" si="71"/>
        <v>-8.9244851258581392E-2</v>
      </c>
      <c r="J143" s="308">
        <f t="shared" si="71"/>
        <v>-2.4475524475524368E-2</v>
      </c>
      <c r="K143" s="307">
        <f t="shared" si="71"/>
        <v>-7.3690109274306526E-2</v>
      </c>
      <c r="L143" s="309">
        <f t="shared" si="71"/>
        <v>-6.7455621301775182E-2</v>
      </c>
      <c r="M143" s="310">
        <f t="shared" si="71"/>
        <v>-7.2463768115941241E-3</v>
      </c>
      <c r="N143" s="310">
        <f t="shared" si="71"/>
        <v>3.2663316582914659E-2</v>
      </c>
      <c r="O143" s="310">
        <f t="shared" si="71"/>
        <v>-6.9295101553165983E-2</v>
      </c>
      <c r="P143" s="309">
        <f t="shared" si="71"/>
        <v>-2.8735632183908066E-2</v>
      </c>
      <c r="Q143" s="309">
        <f t="shared" si="71"/>
        <v>-4.8223350253807085E-2</v>
      </c>
      <c r="R143" s="310">
        <f t="shared" si="71"/>
        <v>-9.9756690997566899E-2</v>
      </c>
      <c r="S143" s="310">
        <f t="shared" si="71"/>
        <v>-2.0681265206812682E-2</v>
      </c>
      <c r="T143" s="310">
        <f t="shared" si="71"/>
        <v>0.12836970474967901</v>
      </c>
      <c r="U143" s="309">
        <f t="shared" si="71"/>
        <v>-1.1522890065400304E-2</v>
      </c>
    </row>
    <row r="144" spans="1:21">
      <c r="A144" s="159" t="s">
        <v>190</v>
      </c>
      <c r="B144" s="338"/>
      <c r="C144" s="338"/>
      <c r="D144" s="338"/>
      <c r="E144" s="338"/>
      <c r="F144" s="339"/>
      <c r="G144" s="307">
        <f t="shared" si="71"/>
        <v>-0.25714285714285712</v>
      </c>
      <c r="H144" s="308">
        <f t="shared" si="71"/>
        <v>-0.5223214285714286</v>
      </c>
      <c r="I144" s="308">
        <f t="shared" si="71"/>
        <v>-8.875739644970404E-2</v>
      </c>
      <c r="J144" s="308">
        <f t="shared" si="71"/>
        <v>0.54838709677419351</v>
      </c>
      <c r="K144" s="307">
        <f t="shared" si="71"/>
        <v>-0.11286407766990303</v>
      </c>
      <c r="L144" s="309">
        <f t="shared" si="71"/>
        <v>-0.46703296703296704</v>
      </c>
      <c r="M144" s="310">
        <f t="shared" si="71"/>
        <v>0.13084112149532712</v>
      </c>
      <c r="N144" s="310">
        <f t="shared" si="71"/>
        <v>-0.52597402597402598</v>
      </c>
      <c r="O144" s="310">
        <f t="shared" si="71"/>
        <v>-0.52777777777777779</v>
      </c>
      <c r="P144" s="309">
        <f t="shared" si="71"/>
        <v>-0.41586867305061559</v>
      </c>
      <c r="Q144" s="309">
        <f t="shared" si="71"/>
        <v>0.15463917525773208</v>
      </c>
      <c r="R144" s="310">
        <f t="shared" si="71"/>
        <v>-4.9586776859504078E-2</v>
      </c>
      <c r="S144" s="310">
        <f t="shared" si="71"/>
        <v>0.24657534246575263</v>
      </c>
      <c r="T144" s="310">
        <f t="shared" si="71"/>
        <v>-2.9411764705882359E-2</v>
      </c>
      <c r="U144" s="309">
        <f t="shared" si="71"/>
        <v>5.3864168618266817E-2</v>
      </c>
    </row>
    <row r="145" spans="1:22" s="19" customFormat="1">
      <c r="A145" s="217" t="s">
        <v>191</v>
      </c>
      <c r="B145" s="329"/>
      <c r="C145" s="329"/>
      <c r="D145" s="329"/>
      <c r="E145" s="329"/>
      <c r="F145" s="330"/>
      <c r="G145" s="313">
        <f t="shared" si="71"/>
        <v>8.375</v>
      </c>
      <c r="H145" s="314">
        <f t="shared" si="71"/>
        <v>-0.91891891891891897</v>
      </c>
      <c r="I145" s="314">
        <f t="shared" si="71"/>
        <v>26.285714285714288</v>
      </c>
      <c r="J145" s="314">
        <f t="shared" si="71"/>
        <v>0.43269230769230771</v>
      </c>
      <c r="K145" s="313">
        <f t="shared" si="71"/>
        <v>0.91919191919191912</v>
      </c>
      <c r="L145" s="315">
        <f t="shared" si="71"/>
        <v>-0.7466666666666667</v>
      </c>
      <c r="M145" s="316">
        <f t="shared" si="71"/>
        <v>1.3333333333333335</v>
      </c>
      <c r="N145" s="316">
        <f t="shared" si="71"/>
        <v>-0.87958115183246077</v>
      </c>
      <c r="O145" s="316">
        <f t="shared" si="71"/>
        <v>-0.98657718120805371</v>
      </c>
      <c r="P145" s="315">
        <f t="shared" si="71"/>
        <v>-0.89473684210526316</v>
      </c>
      <c r="Q145" s="315">
        <f t="shared" si="71"/>
        <v>0.73684210526315796</v>
      </c>
      <c r="R145" s="316">
        <f t="shared" si="71"/>
        <v>4.2142857142857144</v>
      </c>
      <c r="S145" s="316">
        <f t="shared" si="71"/>
        <v>8.6956521739130599E-2</v>
      </c>
      <c r="T145" s="316">
        <f t="shared" si="71"/>
        <v>4.25</v>
      </c>
      <c r="U145" s="315">
        <f t="shared" si="71"/>
        <v>1.5333333333333332</v>
      </c>
    </row>
    <row r="146" spans="1:22">
      <c r="A146" s="219" t="s">
        <v>152</v>
      </c>
      <c r="B146" s="340"/>
      <c r="C146" s="340"/>
      <c r="D146" s="340"/>
      <c r="E146" s="340"/>
      <c r="F146" s="341"/>
      <c r="G146" s="317">
        <f t="shared" si="71"/>
        <v>-2.0444444444444376E-2</v>
      </c>
      <c r="H146" s="318">
        <f t="shared" si="71"/>
        <v>-0.25494853523357097</v>
      </c>
      <c r="I146" s="318">
        <f t="shared" si="71"/>
        <v>8.6666666666666448E-2</v>
      </c>
      <c r="J146" s="318">
        <f t="shared" si="71"/>
        <v>0.13658146964856233</v>
      </c>
      <c r="K146" s="317">
        <f t="shared" si="71"/>
        <v>-1.7697228144989308E-2</v>
      </c>
      <c r="L146" s="319">
        <f t="shared" si="71"/>
        <v>-0.17967332123411972</v>
      </c>
      <c r="M146" s="320">
        <f t="shared" si="71"/>
        <v>1.7003188097768351E-2</v>
      </c>
      <c r="N146" s="320">
        <f t="shared" si="71"/>
        <v>-0.19544259421560028</v>
      </c>
      <c r="O146" s="320">
        <f t="shared" si="71"/>
        <v>-0.35418130709768092</v>
      </c>
      <c r="P146" s="319">
        <f t="shared" si="71"/>
        <v>-0.19730844367267208</v>
      </c>
      <c r="Q146" s="319">
        <f t="shared" si="71"/>
        <v>-9.9557522123894238E-3</v>
      </c>
      <c r="R146" s="320">
        <f t="shared" si="71"/>
        <v>-3.0303030303030387E-2</v>
      </c>
      <c r="S146" s="320">
        <f t="shared" si="71"/>
        <v>3.2679738562091387E-3</v>
      </c>
      <c r="T146" s="320">
        <f t="shared" si="71"/>
        <v>0.12295973884657241</v>
      </c>
      <c r="U146" s="319">
        <f t="shared" si="71"/>
        <v>2.1092482422931269E-2</v>
      </c>
    </row>
    <row r="147" spans="1:22">
      <c r="A147" s="159"/>
      <c r="B147" s="76"/>
      <c r="C147" s="76"/>
      <c r="D147" s="76"/>
      <c r="E147" s="76"/>
      <c r="F147" s="160"/>
      <c r="G147" s="342"/>
      <c r="H147" s="343"/>
      <c r="I147" s="343"/>
      <c r="J147" s="343"/>
      <c r="K147" s="342"/>
      <c r="L147" s="377"/>
      <c r="M147" s="312"/>
      <c r="N147" s="312"/>
      <c r="O147" s="312"/>
      <c r="P147" s="377"/>
      <c r="Q147" s="377"/>
      <c r="R147" s="312"/>
      <c r="S147" s="312"/>
      <c r="T147" s="312"/>
      <c r="U147" s="377"/>
    </row>
    <row r="148" spans="1:22" s="19" customFormat="1" ht="27.6" outlineLevel="1">
      <c r="A148" s="370" t="s">
        <v>251</v>
      </c>
      <c r="B148" s="356"/>
      <c r="C148" s="356"/>
      <c r="D148" s="356"/>
      <c r="E148" s="356"/>
      <c r="F148" s="357"/>
      <c r="G148" s="358"/>
      <c r="H148" s="359"/>
      <c r="I148" s="359"/>
      <c r="J148" s="359"/>
      <c r="K148" s="358"/>
      <c r="L148" s="360"/>
      <c r="M148" s="361"/>
      <c r="N148" s="361"/>
      <c r="O148" s="361"/>
      <c r="P148" s="360"/>
      <c r="Q148" s="360"/>
      <c r="R148" s="361"/>
      <c r="S148" s="361"/>
      <c r="T148" s="361"/>
      <c r="U148" s="360"/>
    </row>
    <row r="149" spans="1:22" outlineLevel="1">
      <c r="A149" s="219" t="s">
        <v>2</v>
      </c>
      <c r="B149" s="76"/>
      <c r="C149" s="76"/>
      <c r="D149" s="76"/>
      <c r="E149" s="76"/>
      <c r="F149" s="160"/>
      <c r="G149" s="342">
        <f t="shared" ref="G149:S149" si="72">+G153</f>
        <v>-8.0645161290322509E-3</v>
      </c>
      <c r="H149" s="343">
        <f t="shared" si="72"/>
        <v>0.14285714285714302</v>
      </c>
      <c r="I149" s="343">
        <f t="shared" si="72"/>
        <v>0.16250000000000009</v>
      </c>
      <c r="J149" s="343">
        <f t="shared" si="72"/>
        <v>-0.16460905349794241</v>
      </c>
      <c r="K149" s="342">
        <f t="shared" si="72"/>
        <v>4.5941807044411753E-3</v>
      </c>
      <c r="L149" s="342">
        <f t="shared" si="72"/>
        <v>0.36585365853658525</v>
      </c>
      <c r="M149" s="343">
        <f t="shared" si="72"/>
        <v>0.24305555555555536</v>
      </c>
      <c r="N149" s="343">
        <f t="shared" si="72"/>
        <v>-0.11290322580645173</v>
      </c>
      <c r="O149" s="343">
        <f t="shared" si="72"/>
        <v>0</v>
      </c>
      <c r="P149" s="342">
        <f t="shared" si="72"/>
        <v>8.9939024390243816E-2</v>
      </c>
      <c r="Q149" s="342">
        <f t="shared" si="72"/>
        <v>-0.18452380952380965</v>
      </c>
      <c r="R149" s="343">
        <f t="shared" si="72"/>
        <v>-4.469273743016744E-2</v>
      </c>
      <c r="S149" s="343">
        <f t="shared" si="72"/>
        <v>-0.12121212121212122</v>
      </c>
      <c r="T149" s="343">
        <f t="shared" ref="T149:U149" si="73">+T153</f>
        <v>0.5911330049261081</v>
      </c>
      <c r="U149" s="342">
        <f t="shared" si="73"/>
        <v>8.5314685314685335E-2</v>
      </c>
    </row>
    <row r="150" spans="1:22" outlineLevel="1">
      <c r="A150" s="159" t="s">
        <v>50</v>
      </c>
      <c r="B150" s="76"/>
      <c r="C150" s="76"/>
      <c r="D150" s="76"/>
      <c r="E150" s="76"/>
      <c r="F150" s="160"/>
      <c r="G150" s="342">
        <f t="shared" ref="G150:S150" si="74">+G154</f>
        <v>-0.24687499999999996</v>
      </c>
      <c r="H150" s="343">
        <f t="shared" si="74"/>
        <v>0.10563380281690149</v>
      </c>
      <c r="I150" s="343">
        <f t="shared" si="74"/>
        <v>-0.42471042471042464</v>
      </c>
      <c r="J150" s="343">
        <f t="shared" si="74"/>
        <v>0.84379172229639487</v>
      </c>
      <c r="K150" s="342">
        <f t="shared" si="74"/>
        <v>0.20127241179872746</v>
      </c>
      <c r="L150" s="342">
        <f t="shared" si="74"/>
        <v>1.8672199170124477</v>
      </c>
      <c r="M150" s="343">
        <f t="shared" si="74"/>
        <v>1.9554140127388537</v>
      </c>
      <c r="N150" s="343">
        <f t="shared" si="74"/>
        <v>0.43288590604026855</v>
      </c>
      <c r="O150" s="343">
        <f t="shared" si="74"/>
        <v>-0.31209268645908761</v>
      </c>
      <c r="P150" s="342">
        <f t="shared" si="74"/>
        <v>0.21906596051998073</v>
      </c>
      <c r="Q150" s="342">
        <f t="shared" si="74"/>
        <v>-0.65412445730824897</v>
      </c>
      <c r="R150" s="343">
        <f t="shared" si="74"/>
        <v>1.0237068965517242</v>
      </c>
      <c r="S150" s="343">
        <f t="shared" si="74"/>
        <v>0.93911007025761095</v>
      </c>
      <c r="T150" s="343">
        <f t="shared" ref="T150:U150" si="75">+T154</f>
        <v>-0.17684210526315791</v>
      </c>
      <c r="U150" s="342">
        <f t="shared" si="75"/>
        <v>0.10163849794628721</v>
      </c>
    </row>
    <row r="151" spans="1:22" outlineLevel="1">
      <c r="A151" s="159"/>
      <c r="B151" s="76"/>
      <c r="C151" s="76"/>
      <c r="D151" s="76"/>
      <c r="E151" s="76"/>
      <c r="F151" s="160"/>
      <c r="G151" s="342"/>
      <c r="H151" s="343"/>
      <c r="I151" s="343"/>
      <c r="J151" s="343"/>
      <c r="K151" s="342"/>
      <c r="L151" s="377"/>
      <c r="M151" s="312"/>
      <c r="N151" s="312"/>
      <c r="O151" s="312"/>
      <c r="P151" s="377"/>
      <c r="Q151" s="377"/>
      <c r="R151" s="312"/>
      <c r="S151" s="312"/>
      <c r="T151" s="312"/>
      <c r="U151" s="377"/>
    </row>
    <row r="152" spans="1:22" s="19" customFormat="1">
      <c r="A152" s="370" t="s">
        <v>242</v>
      </c>
      <c r="B152" s="356"/>
      <c r="C152" s="356"/>
      <c r="D152" s="356"/>
      <c r="E152" s="356"/>
      <c r="F152" s="357"/>
      <c r="G152" s="358"/>
      <c r="H152" s="359"/>
      <c r="I152" s="359"/>
      <c r="J152" s="359"/>
      <c r="K152" s="358"/>
      <c r="L152" s="360"/>
      <c r="M152" s="361"/>
      <c r="N152" s="361"/>
      <c r="O152" s="361"/>
      <c r="P152" s="360"/>
      <c r="Q152" s="360"/>
      <c r="R152" s="361"/>
      <c r="S152" s="361"/>
      <c r="T152" s="361"/>
      <c r="U152" s="360"/>
    </row>
    <row r="153" spans="1:22">
      <c r="A153" s="219" t="s">
        <v>2</v>
      </c>
      <c r="B153" s="340"/>
      <c r="C153" s="340"/>
      <c r="D153" s="340"/>
      <c r="E153" s="340"/>
      <c r="F153" s="341"/>
      <c r="G153" s="317">
        <f t="shared" ref="G153:U153" si="76">+G50/B50-1</f>
        <v>-8.0645161290322509E-3</v>
      </c>
      <c r="H153" s="344">
        <f t="shared" si="76"/>
        <v>0.14285714285714302</v>
      </c>
      <c r="I153" s="344">
        <f t="shared" si="76"/>
        <v>0.16250000000000009</v>
      </c>
      <c r="J153" s="344">
        <f t="shared" si="76"/>
        <v>-0.16460905349794241</v>
      </c>
      <c r="K153" s="317">
        <f t="shared" si="76"/>
        <v>4.5941807044411753E-3</v>
      </c>
      <c r="L153" s="319">
        <f t="shared" si="76"/>
        <v>0.36585365853658525</v>
      </c>
      <c r="M153" s="345">
        <f t="shared" si="76"/>
        <v>0.24305555555555536</v>
      </c>
      <c r="N153" s="345">
        <f t="shared" si="76"/>
        <v>-0.11290322580645173</v>
      </c>
      <c r="O153" s="345">
        <f t="shared" si="76"/>
        <v>0</v>
      </c>
      <c r="P153" s="319">
        <f t="shared" si="76"/>
        <v>8.9939024390243816E-2</v>
      </c>
      <c r="Q153" s="319">
        <f t="shared" si="76"/>
        <v>-0.18452380952380965</v>
      </c>
      <c r="R153" s="345">
        <f t="shared" si="76"/>
        <v>-4.469273743016744E-2</v>
      </c>
      <c r="S153" s="345">
        <f t="shared" si="76"/>
        <v>-0.12121212121212122</v>
      </c>
      <c r="T153" s="345">
        <f t="shared" si="76"/>
        <v>0.5911330049261081</v>
      </c>
      <c r="U153" s="486">
        <f t="shared" si="76"/>
        <v>8.5314685314685335E-2</v>
      </c>
    </row>
    <row r="154" spans="1:22">
      <c r="A154" s="159" t="s">
        <v>50</v>
      </c>
      <c r="B154" s="327"/>
      <c r="C154" s="327"/>
      <c r="D154" s="327"/>
      <c r="E154" s="327"/>
      <c r="F154" s="328"/>
      <c r="G154" s="307">
        <f t="shared" ref="G154:U154" si="77">+G56/B56-1</f>
        <v>-0.24687499999999996</v>
      </c>
      <c r="H154" s="308">
        <f t="shared" si="77"/>
        <v>0.10563380281690149</v>
      </c>
      <c r="I154" s="308">
        <f t="shared" si="77"/>
        <v>-0.42471042471042464</v>
      </c>
      <c r="J154" s="308">
        <f t="shared" si="77"/>
        <v>0.84379172229639487</v>
      </c>
      <c r="K154" s="307">
        <f t="shared" si="77"/>
        <v>0.20127241179872746</v>
      </c>
      <c r="L154" s="309">
        <f t="shared" si="77"/>
        <v>1.8672199170124477</v>
      </c>
      <c r="M154" s="310">
        <f t="shared" si="77"/>
        <v>1.9554140127388537</v>
      </c>
      <c r="N154" s="310">
        <f t="shared" si="77"/>
        <v>0.43288590604026855</v>
      </c>
      <c r="O154" s="310">
        <f t="shared" si="77"/>
        <v>-0.31209268645908761</v>
      </c>
      <c r="P154" s="309">
        <f t="shared" si="77"/>
        <v>0.21906596051998073</v>
      </c>
      <c r="Q154" s="309">
        <f t="shared" si="77"/>
        <v>-0.65412445730824897</v>
      </c>
      <c r="R154" s="310">
        <f t="shared" si="77"/>
        <v>1.0237068965517242</v>
      </c>
      <c r="S154" s="310">
        <f t="shared" si="77"/>
        <v>0.93911007025761095</v>
      </c>
      <c r="T154" s="310">
        <f t="shared" si="77"/>
        <v>-0.17684210526315791</v>
      </c>
      <c r="U154" s="309">
        <f t="shared" si="77"/>
        <v>0.10163849794628721</v>
      </c>
    </row>
    <row r="155" spans="1:22">
      <c r="A155" s="173"/>
      <c r="B155" s="79"/>
      <c r="C155" s="74"/>
      <c r="D155" s="74"/>
      <c r="E155" s="74"/>
      <c r="F155" s="74"/>
      <c r="G155" s="74"/>
      <c r="H155" s="74"/>
      <c r="I155" s="74"/>
      <c r="J155" s="74"/>
      <c r="K155" s="74"/>
      <c r="L155" s="281"/>
      <c r="M155" s="281"/>
      <c r="N155" s="281"/>
      <c r="O155" s="281"/>
      <c r="P155" s="281"/>
      <c r="Q155" s="281"/>
      <c r="R155" s="346"/>
      <c r="S155" s="281"/>
      <c r="T155" s="74"/>
      <c r="U155" s="74"/>
      <c r="V155" s="13"/>
    </row>
    <row r="156" spans="1:22">
      <c r="A156" s="496" t="s">
        <v>126</v>
      </c>
      <c r="B156" s="497"/>
      <c r="C156" s="497"/>
      <c r="D156" s="497"/>
      <c r="E156" s="497"/>
      <c r="F156" s="497"/>
      <c r="G156" s="497"/>
      <c r="H156" s="497"/>
      <c r="I156" s="497"/>
      <c r="J156" s="497"/>
      <c r="K156" s="497"/>
      <c r="L156" s="281"/>
      <c r="M156" s="281"/>
      <c r="N156" s="281"/>
      <c r="O156" s="281"/>
      <c r="P156" s="281"/>
      <c r="Q156" s="281"/>
      <c r="R156" s="346"/>
      <c r="S156" s="281"/>
      <c r="T156" s="74"/>
      <c r="U156" s="74"/>
      <c r="V156" s="13"/>
    </row>
    <row r="157" spans="1:22">
      <c r="A157" s="347" t="s">
        <v>127</v>
      </c>
      <c r="B157" s="346"/>
      <c r="C157" s="281"/>
      <c r="D157" s="281"/>
      <c r="E157" s="281"/>
      <c r="F157" s="281"/>
      <c r="G157" s="281"/>
      <c r="H157" s="281"/>
      <c r="I157" s="281"/>
      <c r="J157" s="281"/>
      <c r="K157" s="281"/>
      <c r="L157" s="281"/>
      <c r="M157" s="281"/>
      <c r="N157" s="281"/>
      <c r="O157" s="281"/>
      <c r="P157" s="281"/>
      <c r="Q157" s="281"/>
      <c r="R157" s="346"/>
      <c r="S157" s="281"/>
      <c r="T157" s="74"/>
      <c r="U157" s="74"/>
      <c r="V157" s="13"/>
    </row>
    <row r="158" spans="1:22" ht="24" customHeight="1">
      <c r="A158" s="498" t="s">
        <v>166</v>
      </c>
      <c r="B158" s="499"/>
      <c r="C158" s="499"/>
      <c r="D158" s="499"/>
      <c r="E158" s="499"/>
      <c r="F158" s="499"/>
      <c r="G158" s="499"/>
      <c r="H158" s="499"/>
      <c r="I158" s="499"/>
      <c r="J158" s="499"/>
      <c r="K158" s="499"/>
      <c r="L158" s="499"/>
      <c r="M158" s="499"/>
      <c r="N158" s="499"/>
      <c r="O158" s="499"/>
      <c r="P158" s="499"/>
      <c r="Q158" s="499"/>
      <c r="R158" s="499"/>
      <c r="S158" s="499"/>
      <c r="T158" s="74"/>
      <c r="U158" s="74"/>
      <c r="V158" s="13"/>
    </row>
    <row r="159" spans="1:22" ht="14.4" customHeight="1">
      <c r="A159" s="347" t="s">
        <v>253</v>
      </c>
      <c r="B159" s="479"/>
      <c r="C159" s="479"/>
      <c r="D159" s="479"/>
      <c r="E159" s="479"/>
      <c r="F159" s="479"/>
      <c r="G159" s="479"/>
      <c r="H159" s="479"/>
      <c r="I159" s="479"/>
      <c r="J159" s="479"/>
      <c r="K159" s="479"/>
      <c r="L159" s="479"/>
      <c r="M159" s="479"/>
      <c r="N159" s="479"/>
      <c r="O159" s="479"/>
      <c r="P159" s="479"/>
      <c r="Q159" s="479"/>
      <c r="R159" s="479"/>
      <c r="S159" s="479"/>
      <c r="T159" s="74"/>
      <c r="U159" s="74"/>
      <c r="V159" s="13"/>
    </row>
    <row r="160" spans="1:22">
      <c r="A160" s="347" t="s">
        <v>254</v>
      </c>
      <c r="B160" s="346"/>
      <c r="C160" s="281"/>
      <c r="D160" s="281"/>
      <c r="E160" s="281"/>
      <c r="F160" s="281"/>
      <c r="G160" s="281"/>
      <c r="H160" s="281"/>
      <c r="I160" s="281"/>
      <c r="J160" s="281"/>
      <c r="K160" s="281"/>
      <c r="L160" s="281"/>
      <c r="M160" s="281"/>
      <c r="N160" s="281"/>
      <c r="O160" s="281"/>
      <c r="P160" s="281"/>
      <c r="Q160" s="281"/>
      <c r="R160" s="346"/>
      <c r="S160" s="281"/>
      <c r="T160" s="74"/>
      <c r="U160" s="74"/>
      <c r="V160" s="13"/>
    </row>
    <row r="161" spans="1:22">
      <c r="A161" s="173"/>
      <c r="B161" s="79"/>
      <c r="C161" s="74"/>
      <c r="D161" s="74"/>
      <c r="E161" s="74"/>
      <c r="F161" s="74"/>
      <c r="G161" s="74"/>
      <c r="H161" s="74"/>
      <c r="I161" s="74"/>
      <c r="J161" s="74"/>
      <c r="K161" s="74"/>
      <c r="L161" s="281"/>
      <c r="M161" s="281"/>
      <c r="N161" s="281"/>
      <c r="O161" s="281"/>
      <c r="P161" s="281"/>
      <c r="Q161" s="281"/>
      <c r="R161" s="346"/>
      <c r="S161" s="281"/>
      <c r="T161" s="74"/>
      <c r="U161" s="74"/>
      <c r="V161" s="13"/>
    </row>
    <row r="162" spans="1:22">
      <c r="A162" s="64" t="s">
        <v>97</v>
      </c>
      <c r="B162" s="14"/>
      <c r="C162" s="13"/>
      <c r="D162" s="13"/>
      <c r="E162" s="13"/>
      <c r="F162" s="13"/>
      <c r="G162" s="13"/>
      <c r="H162" s="13"/>
      <c r="I162" s="13"/>
      <c r="J162" s="13"/>
      <c r="K162" s="13"/>
      <c r="L162" s="31"/>
      <c r="M162" s="31"/>
      <c r="N162" s="31"/>
      <c r="O162" s="31"/>
      <c r="P162" s="31"/>
      <c r="Q162" s="31"/>
      <c r="R162" s="38"/>
      <c r="S162" s="31"/>
      <c r="T162" s="13"/>
      <c r="U162" s="13"/>
      <c r="V162" s="13"/>
    </row>
    <row r="163" spans="1:22">
      <c r="A163" s="26"/>
      <c r="B163" s="14"/>
      <c r="C163" s="13"/>
      <c r="D163" s="13"/>
      <c r="E163" s="13"/>
      <c r="F163" s="13"/>
      <c r="G163" s="13"/>
      <c r="H163" s="13"/>
      <c r="I163" s="13"/>
      <c r="J163" s="13"/>
      <c r="K163" s="13"/>
      <c r="L163" s="31"/>
      <c r="M163" s="31"/>
      <c r="N163" s="31"/>
      <c r="O163" s="31"/>
      <c r="P163" s="31"/>
      <c r="Q163" s="31"/>
      <c r="R163" s="38"/>
      <c r="S163" s="31"/>
      <c r="T163" s="13"/>
      <c r="U163" s="13"/>
      <c r="V163" s="13"/>
    </row>
    <row r="164" spans="1:22">
      <c r="A164" s="26"/>
      <c r="B164" s="14"/>
      <c r="C164" s="13"/>
      <c r="D164" s="13"/>
      <c r="E164" s="13"/>
      <c r="F164" s="13"/>
      <c r="G164" s="13"/>
      <c r="H164" s="13"/>
      <c r="I164" s="13"/>
      <c r="J164" s="13"/>
      <c r="K164" s="13"/>
      <c r="L164" s="31"/>
      <c r="M164" s="31"/>
      <c r="N164" s="31"/>
      <c r="O164" s="31"/>
      <c r="P164" s="31"/>
      <c r="Q164" s="31"/>
      <c r="R164" s="38"/>
      <c r="S164" s="31"/>
      <c r="T164" s="13"/>
      <c r="U164" s="13"/>
      <c r="V164" s="13"/>
    </row>
    <row r="165" spans="1:22">
      <c r="A165" s="26"/>
      <c r="B165" s="14"/>
      <c r="C165" s="13"/>
      <c r="D165" s="13"/>
      <c r="E165" s="13"/>
      <c r="F165" s="13"/>
      <c r="G165" s="13"/>
      <c r="H165" s="13"/>
      <c r="I165" s="13"/>
      <c r="J165" s="13"/>
      <c r="K165" s="13"/>
      <c r="L165" s="31"/>
      <c r="M165" s="31"/>
      <c r="N165" s="31"/>
      <c r="O165" s="31"/>
      <c r="P165" s="31"/>
      <c r="Q165" s="31"/>
      <c r="R165" s="38"/>
      <c r="S165" s="31"/>
      <c r="T165" s="13"/>
      <c r="U165" s="13"/>
      <c r="V165" s="13"/>
    </row>
    <row r="166" spans="1:22">
      <c r="A166" s="26"/>
      <c r="B166" s="14"/>
      <c r="C166" s="13"/>
      <c r="D166" s="13"/>
      <c r="E166" s="13"/>
      <c r="F166" s="13"/>
      <c r="G166" s="13"/>
      <c r="H166" s="13"/>
      <c r="I166" s="13"/>
      <c r="J166" s="13"/>
      <c r="K166" s="13"/>
      <c r="L166" s="31"/>
      <c r="M166" s="31"/>
      <c r="N166" s="31"/>
      <c r="O166" s="31"/>
      <c r="P166" s="31"/>
      <c r="Q166" s="31"/>
      <c r="R166" s="38"/>
      <c r="S166" s="31"/>
      <c r="T166" s="13"/>
      <c r="U166" s="13"/>
      <c r="V166" s="13"/>
    </row>
    <row r="167" spans="1:22">
      <c r="A167" s="26"/>
      <c r="B167" s="14"/>
      <c r="C167" s="13"/>
      <c r="D167" s="13"/>
      <c r="E167" s="13"/>
      <c r="F167" s="13"/>
      <c r="G167" s="13"/>
      <c r="H167" s="13"/>
      <c r="I167" s="13"/>
      <c r="J167" s="13"/>
      <c r="K167" s="13"/>
      <c r="L167" s="31"/>
      <c r="M167" s="31"/>
      <c r="N167" s="31"/>
      <c r="O167" s="31"/>
      <c r="P167" s="31"/>
      <c r="Q167" s="31"/>
      <c r="R167" s="38"/>
      <c r="S167" s="31"/>
      <c r="T167" s="13"/>
      <c r="U167" s="13"/>
      <c r="V167" s="13"/>
    </row>
    <row r="168" spans="1:22">
      <c r="A168" s="26"/>
      <c r="B168" s="14"/>
      <c r="C168" s="13"/>
      <c r="D168" s="13"/>
      <c r="E168" s="13"/>
      <c r="F168" s="13"/>
      <c r="G168" s="13"/>
      <c r="H168" s="13"/>
      <c r="I168" s="13"/>
      <c r="J168" s="13"/>
      <c r="K168" s="13"/>
      <c r="L168" s="31"/>
      <c r="M168" s="31"/>
      <c r="N168" s="31"/>
      <c r="O168" s="31"/>
      <c r="P168" s="31"/>
      <c r="Q168" s="31"/>
      <c r="R168" s="38"/>
      <c r="S168" s="31"/>
      <c r="T168" s="13"/>
      <c r="U168" s="13"/>
      <c r="V168" s="13"/>
    </row>
    <row r="169" spans="1:22">
      <c r="A169" s="26"/>
      <c r="B169" s="14"/>
      <c r="C169" s="13"/>
      <c r="D169" s="13"/>
      <c r="E169" s="13"/>
      <c r="F169" s="13"/>
      <c r="G169" s="13"/>
      <c r="H169" s="13"/>
      <c r="I169" s="13"/>
      <c r="J169" s="13"/>
      <c r="K169" s="13"/>
      <c r="L169" s="31"/>
      <c r="M169" s="31"/>
      <c r="N169" s="31"/>
      <c r="O169" s="31"/>
      <c r="P169" s="31"/>
      <c r="Q169" s="31"/>
      <c r="R169" s="38"/>
      <c r="S169" s="31"/>
      <c r="T169" s="13"/>
      <c r="U169" s="13"/>
      <c r="V169" s="13"/>
    </row>
    <row r="170" spans="1:22">
      <c r="A170" s="26"/>
      <c r="B170" s="14"/>
      <c r="C170" s="13"/>
      <c r="D170" s="13"/>
      <c r="E170" s="13"/>
      <c r="F170" s="13"/>
      <c r="G170" s="13"/>
      <c r="H170" s="13"/>
      <c r="I170" s="13"/>
      <c r="J170" s="13"/>
      <c r="K170" s="13"/>
      <c r="L170" s="31"/>
      <c r="M170" s="31"/>
      <c r="N170" s="31"/>
      <c r="O170" s="31"/>
      <c r="P170" s="31"/>
      <c r="Q170" s="31"/>
      <c r="R170" s="38"/>
      <c r="S170" s="31"/>
      <c r="T170" s="13"/>
      <c r="U170" s="13"/>
      <c r="V170" s="13"/>
    </row>
    <row r="171" spans="1:22">
      <c r="A171" s="26"/>
      <c r="B171" s="14"/>
      <c r="C171" s="13"/>
      <c r="D171" s="13"/>
      <c r="E171" s="13"/>
      <c r="F171" s="13"/>
      <c r="G171" s="13"/>
      <c r="H171" s="13"/>
      <c r="I171" s="13"/>
      <c r="J171" s="13"/>
      <c r="K171" s="13"/>
      <c r="L171" s="31"/>
      <c r="M171" s="31"/>
      <c r="N171" s="31"/>
      <c r="O171" s="31"/>
      <c r="P171" s="31"/>
      <c r="Q171" s="31"/>
      <c r="R171" s="38"/>
      <c r="S171" s="31"/>
      <c r="T171" s="13"/>
      <c r="U171" s="13"/>
      <c r="V171" s="13"/>
    </row>
    <row r="172" spans="1:22">
      <c r="A172" s="26"/>
      <c r="B172" s="14"/>
      <c r="C172" s="13"/>
      <c r="D172" s="13"/>
      <c r="E172" s="13"/>
      <c r="F172" s="13"/>
      <c r="G172" s="13"/>
      <c r="H172" s="13"/>
      <c r="I172" s="13"/>
      <c r="J172" s="13"/>
      <c r="K172" s="13"/>
      <c r="L172" s="31"/>
      <c r="M172" s="31"/>
      <c r="N172" s="31"/>
      <c r="O172" s="31"/>
      <c r="P172" s="31"/>
      <c r="Q172" s="31"/>
      <c r="R172" s="38"/>
      <c r="S172" s="31"/>
      <c r="T172" s="13"/>
      <c r="U172" s="13"/>
      <c r="V172" s="13"/>
    </row>
    <row r="173" spans="1:22">
      <c r="A173" s="26"/>
      <c r="B173" s="14"/>
      <c r="C173" s="13"/>
      <c r="D173" s="13"/>
      <c r="E173" s="13"/>
      <c r="F173" s="13"/>
      <c r="G173" s="13"/>
      <c r="H173" s="13"/>
      <c r="I173" s="13"/>
      <c r="J173" s="13"/>
      <c r="K173" s="13"/>
      <c r="L173" s="31"/>
      <c r="M173" s="31"/>
      <c r="N173" s="31"/>
      <c r="O173" s="31"/>
      <c r="P173" s="31"/>
      <c r="Q173" s="31"/>
      <c r="R173" s="38"/>
      <c r="S173" s="31"/>
      <c r="T173" s="13"/>
      <c r="U173" s="13"/>
      <c r="V173" s="13"/>
    </row>
    <row r="174" spans="1:22">
      <c r="A174" s="26"/>
      <c r="B174" s="14"/>
      <c r="C174" s="13"/>
      <c r="D174" s="13"/>
      <c r="E174" s="13"/>
      <c r="F174" s="13"/>
      <c r="G174" s="13"/>
      <c r="H174" s="13"/>
      <c r="I174" s="13"/>
      <c r="J174" s="13"/>
      <c r="K174" s="13"/>
      <c r="L174" s="31"/>
      <c r="M174" s="31"/>
      <c r="N174" s="31"/>
      <c r="O174" s="31"/>
      <c r="P174" s="31"/>
      <c r="Q174" s="31"/>
      <c r="R174" s="38"/>
      <c r="S174" s="31"/>
      <c r="T174" s="13"/>
      <c r="U174" s="13"/>
      <c r="V174" s="13"/>
    </row>
    <row r="175" spans="1:22">
      <c r="A175" s="26"/>
      <c r="B175" s="14"/>
      <c r="C175" s="13"/>
      <c r="D175" s="13"/>
      <c r="E175" s="13"/>
      <c r="F175" s="13"/>
      <c r="G175" s="13"/>
      <c r="H175" s="13"/>
      <c r="I175" s="13"/>
      <c r="J175" s="13"/>
      <c r="K175" s="13"/>
      <c r="L175" s="31"/>
      <c r="M175" s="31"/>
      <c r="N175" s="31"/>
      <c r="O175" s="31"/>
      <c r="P175" s="31"/>
      <c r="Q175" s="31"/>
      <c r="R175" s="38"/>
      <c r="S175" s="31"/>
      <c r="T175" s="13"/>
      <c r="U175" s="13"/>
      <c r="V175" s="13"/>
    </row>
    <row r="176" spans="1:22">
      <c r="A176" s="26"/>
      <c r="B176" s="14"/>
      <c r="C176" s="13"/>
      <c r="D176" s="13"/>
      <c r="E176" s="13"/>
      <c r="F176" s="13"/>
      <c r="G176" s="13"/>
      <c r="H176" s="13"/>
      <c r="I176" s="13"/>
      <c r="J176" s="13"/>
      <c r="K176" s="13"/>
      <c r="L176" s="31"/>
      <c r="M176" s="31"/>
      <c r="N176" s="31"/>
      <c r="O176" s="31"/>
      <c r="P176" s="31"/>
      <c r="Q176" s="31"/>
      <c r="R176" s="38"/>
      <c r="S176" s="31"/>
      <c r="T176" s="13"/>
      <c r="U176" s="13"/>
      <c r="V176" s="13"/>
    </row>
    <row r="177" spans="1:22">
      <c r="A177" s="26"/>
      <c r="B177" s="14"/>
      <c r="C177" s="13"/>
      <c r="D177" s="13"/>
      <c r="E177" s="13"/>
      <c r="F177" s="13"/>
      <c r="G177" s="13"/>
      <c r="H177" s="13"/>
      <c r="I177" s="13"/>
      <c r="J177" s="13"/>
      <c r="K177" s="13"/>
      <c r="L177" s="31"/>
      <c r="M177" s="31"/>
      <c r="N177" s="31"/>
      <c r="O177" s="31"/>
      <c r="P177" s="31"/>
      <c r="Q177" s="31"/>
      <c r="R177" s="38"/>
      <c r="S177" s="31"/>
      <c r="T177" s="13"/>
      <c r="U177" s="13"/>
      <c r="V177" s="13"/>
    </row>
    <row r="178" spans="1:22">
      <c r="A178" s="26"/>
      <c r="B178" s="14"/>
      <c r="C178" s="13"/>
      <c r="D178" s="13"/>
      <c r="E178" s="13"/>
      <c r="F178" s="13"/>
      <c r="G178" s="13"/>
      <c r="H178" s="13"/>
      <c r="I178" s="13"/>
      <c r="J178" s="13"/>
      <c r="K178" s="13"/>
      <c r="L178" s="31"/>
      <c r="M178" s="31"/>
      <c r="N178" s="31"/>
      <c r="O178" s="31"/>
      <c r="P178" s="31"/>
      <c r="Q178" s="31"/>
      <c r="R178" s="38"/>
      <c r="S178" s="31"/>
      <c r="T178" s="13"/>
      <c r="U178" s="13"/>
      <c r="V178" s="13"/>
    </row>
    <row r="179" spans="1:22">
      <c r="A179" s="26"/>
      <c r="B179" s="14"/>
      <c r="C179" s="13"/>
      <c r="D179" s="13"/>
      <c r="E179" s="13"/>
      <c r="F179" s="13"/>
      <c r="G179" s="13"/>
      <c r="H179" s="13"/>
      <c r="I179" s="13"/>
      <c r="J179" s="13"/>
      <c r="K179" s="13"/>
      <c r="L179" s="31"/>
      <c r="M179" s="31"/>
      <c r="N179" s="31"/>
      <c r="O179" s="31"/>
      <c r="P179" s="31"/>
      <c r="Q179" s="31"/>
      <c r="R179" s="38"/>
      <c r="S179" s="31"/>
      <c r="T179" s="13"/>
      <c r="U179" s="13"/>
      <c r="V179" s="13"/>
    </row>
    <row r="180" spans="1:22">
      <c r="A180" s="26"/>
      <c r="B180" s="14"/>
      <c r="C180" s="13"/>
      <c r="D180" s="13"/>
      <c r="E180" s="13"/>
      <c r="F180" s="13"/>
      <c r="G180" s="13"/>
      <c r="H180" s="13"/>
      <c r="I180" s="13"/>
      <c r="J180" s="13"/>
      <c r="K180" s="13"/>
      <c r="L180" s="31"/>
      <c r="M180" s="31"/>
      <c r="N180" s="31"/>
      <c r="O180" s="31"/>
      <c r="P180" s="31"/>
      <c r="Q180" s="31"/>
      <c r="R180" s="38"/>
      <c r="S180" s="31"/>
      <c r="T180" s="13"/>
      <c r="U180" s="13"/>
      <c r="V180" s="13"/>
    </row>
    <row r="181" spans="1:22">
      <c r="A181" s="26"/>
      <c r="B181" s="14"/>
      <c r="C181" s="13"/>
      <c r="D181" s="13"/>
      <c r="E181" s="13"/>
      <c r="F181" s="13"/>
      <c r="G181" s="13"/>
      <c r="H181" s="13"/>
      <c r="I181" s="13"/>
      <c r="J181" s="13"/>
      <c r="K181" s="13"/>
      <c r="L181" s="31"/>
      <c r="M181" s="31"/>
      <c r="N181" s="31"/>
      <c r="O181" s="31"/>
      <c r="P181" s="31"/>
      <c r="Q181" s="31"/>
      <c r="R181" s="38"/>
      <c r="S181" s="31"/>
      <c r="T181" s="13"/>
      <c r="U181" s="13"/>
      <c r="V181" s="13"/>
    </row>
    <row r="182" spans="1:22">
      <c r="A182" s="26"/>
      <c r="B182" s="14"/>
      <c r="C182" s="13"/>
      <c r="D182" s="13"/>
      <c r="E182" s="13"/>
      <c r="F182" s="13"/>
      <c r="G182" s="13"/>
      <c r="H182" s="13"/>
      <c r="I182" s="13"/>
      <c r="J182" s="13"/>
      <c r="K182" s="13"/>
      <c r="L182" s="31"/>
      <c r="M182" s="31"/>
      <c r="N182" s="31"/>
      <c r="O182" s="31"/>
      <c r="P182" s="31"/>
      <c r="Q182" s="31"/>
      <c r="R182" s="38"/>
      <c r="S182" s="31"/>
      <c r="T182" s="13"/>
      <c r="U182" s="13"/>
      <c r="V182" s="13"/>
    </row>
    <row r="183" spans="1:22">
      <c r="A183" s="26"/>
      <c r="B183" s="14"/>
      <c r="C183" s="13"/>
      <c r="D183" s="13"/>
      <c r="E183" s="13"/>
      <c r="F183" s="13"/>
      <c r="G183" s="13"/>
      <c r="H183" s="13"/>
      <c r="I183" s="13"/>
      <c r="J183" s="13"/>
      <c r="K183" s="13"/>
      <c r="L183" s="31"/>
      <c r="M183" s="31"/>
      <c r="N183" s="31"/>
      <c r="O183" s="31"/>
      <c r="P183" s="31"/>
      <c r="Q183" s="31"/>
      <c r="R183" s="38"/>
      <c r="S183" s="31"/>
      <c r="T183" s="13"/>
      <c r="U183" s="13"/>
      <c r="V183" s="13"/>
    </row>
    <row r="184" spans="1:22">
      <c r="A184" s="26"/>
      <c r="B184" s="14"/>
      <c r="C184" s="13"/>
      <c r="D184" s="13"/>
      <c r="E184" s="13"/>
      <c r="F184" s="13"/>
      <c r="G184" s="13"/>
      <c r="H184" s="13"/>
      <c r="I184" s="13"/>
      <c r="J184" s="13"/>
      <c r="K184" s="13"/>
      <c r="L184" s="31"/>
      <c r="M184" s="31"/>
      <c r="N184" s="31"/>
      <c r="O184" s="31"/>
      <c r="P184" s="31"/>
      <c r="Q184" s="31"/>
      <c r="R184" s="38"/>
      <c r="S184" s="31"/>
      <c r="T184" s="13"/>
      <c r="U184" s="13"/>
      <c r="V184" s="13"/>
    </row>
    <row r="185" spans="1:22">
      <c r="A185" s="26"/>
      <c r="B185" s="14"/>
      <c r="C185" s="13"/>
      <c r="D185" s="13"/>
      <c r="E185" s="13"/>
      <c r="F185" s="13"/>
      <c r="G185" s="13"/>
      <c r="H185" s="13"/>
      <c r="I185" s="13"/>
      <c r="J185" s="13"/>
      <c r="K185" s="13"/>
      <c r="L185" s="31"/>
      <c r="M185" s="31"/>
      <c r="N185" s="31"/>
      <c r="O185" s="31"/>
      <c r="P185" s="31"/>
      <c r="Q185" s="31"/>
      <c r="R185" s="38"/>
      <c r="S185" s="31"/>
      <c r="T185" s="13"/>
      <c r="U185" s="13"/>
      <c r="V185" s="13"/>
    </row>
    <row r="186" spans="1:22">
      <c r="A186" s="26"/>
      <c r="B186" s="14"/>
      <c r="C186" s="13"/>
      <c r="D186" s="13"/>
      <c r="E186" s="13"/>
      <c r="F186" s="13"/>
      <c r="G186" s="13"/>
      <c r="H186" s="13"/>
      <c r="I186" s="13"/>
      <c r="J186" s="13"/>
      <c r="K186" s="13"/>
      <c r="L186" s="31"/>
      <c r="M186" s="31"/>
      <c r="N186" s="31"/>
      <c r="O186" s="31"/>
      <c r="P186" s="31"/>
      <c r="Q186" s="31"/>
      <c r="R186" s="38"/>
      <c r="S186" s="31"/>
      <c r="T186" s="13"/>
      <c r="U186" s="13"/>
      <c r="V186" s="13"/>
    </row>
    <row r="187" spans="1:22">
      <c r="A187" s="26"/>
      <c r="B187" s="14"/>
      <c r="C187" s="13"/>
      <c r="D187" s="13"/>
      <c r="E187" s="13"/>
      <c r="F187" s="13"/>
      <c r="G187" s="13"/>
      <c r="H187" s="13"/>
      <c r="I187" s="13"/>
      <c r="J187" s="13"/>
      <c r="K187" s="13"/>
      <c r="L187" s="31"/>
      <c r="M187" s="31"/>
      <c r="N187" s="31"/>
      <c r="O187" s="31"/>
      <c r="P187" s="31"/>
      <c r="Q187" s="31"/>
      <c r="R187" s="38"/>
      <c r="S187" s="31"/>
      <c r="T187" s="13"/>
      <c r="U187" s="13"/>
      <c r="V187" s="13"/>
    </row>
    <row r="188" spans="1:22">
      <c r="A188" s="26"/>
      <c r="B188" s="14"/>
      <c r="C188" s="13"/>
      <c r="D188" s="13"/>
      <c r="E188" s="13"/>
      <c r="F188" s="13"/>
      <c r="G188" s="13"/>
      <c r="H188" s="13"/>
      <c r="I188" s="13"/>
      <c r="J188" s="13"/>
      <c r="K188" s="13"/>
      <c r="L188" s="31"/>
      <c r="M188" s="31"/>
      <c r="N188" s="31"/>
      <c r="O188" s="31"/>
      <c r="P188" s="31"/>
      <c r="Q188" s="31"/>
      <c r="R188" s="38"/>
      <c r="S188" s="31"/>
      <c r="T188" s="13"/>
      <c r="U188" s="13"/>
      <c r="V188" s="13"/>
    </row>
    <row r="189" spans="1:22">
      <c r="A189" s="26"/>
      <c r="B189" s="14"/>
      <c r="C189" s="13"/>
      <c r="D189" s="13"/>
      <c r="E189" s="13"/>
      <c r="F189" s="13"/>
      <c r="G189" s="13"/>
      <c r="H189" s="13"/>
      <c r="I189" s="13"/>
      <c r="J189" s="13"/>
      <c r="K189" s="13"/>
      <c r="L189" s="31"/>
      <c r="M189" s="31"/>
      <c r="N189" s="31"/>
      <c r="O189" s="31"/>
      <c r="P189" s="31"/>
      <c r="Q189" s="31"/>
      <c r="R189" s="38"/>
      <c r="S189" s="31"/>
      <c r="T189" s="13"/>
      <c r="U189" s="13"/>
      <c r="V189" s="13"/>
    </row>
    <row r="190" spans="1:22">
      <c r="A190" s="26"/>
      <c r="B190" s="14"/>
      <c r="C190" s="13"/>
      <c r="D190" s="13"/>
      <c r="E190" s="13"/>
      <c r="F190" s="13"/>
      <c r="G190" s="13"/>
      <c r="H190" s="13"/>
      <c r="I190" s="13"/>
      <c r="J190" s="13"/>
      <c r="K190" s="13"/>
      <c r="L190" s="31"/>
      <c r="M190" s="31"/>
      <c r="N190" s="31"/>
      <c r="O190" s="31"/>
      <c r="P190" s="31"/>
      <c r="Q190" s="31"/>
      <c r="R190" s="38"/>
      <c r="S190" s="31"/>
      <c r="T190" s="13"/>
      <c r="U190" s="13"/>
      <c r="V190" s="13"/>
    </row>
    <row r="191" spans="1:22">
      <c r="A191" s="26"/>
      <c r="B191" s="14"/>
      <c r="C191" s="13"/>
      <c r="D191" s="13"/>
      <c r="E191" s="13"/>
      <c r="F191" s="13"/>
      <c r="G191" s="13"/>
      <c r="H191" s="13"/>
      <c r="I191" s="13"/>
      <c r="J191" s="13"/>
      <c r="K191" s="13"/>
      <c r="L191" s="31"/>
      <c r="M191" s="31"/>
      <c r="N191" s="31"/>
      <c r="O191" s="31"/>
      <c r="P191" s="31"/>
      <c r="Q191" s="31"/>
      <c r="R191" s="38"/>
      <c r="S191" s="31"/>
      <c r="T191" s="13"/>
      <c r="U191" s="13"/>
      <c r="V191" s="13"/>
    </row>
    <row r="192" spans="1:22">
      <c r="A192" s="26"/>
      <c r="B192" s="14"/>
      <c r="C192" s="13"/>
      <c r="D192" s="13"/>
      <c r="E192" s="13"/>
      <c r="F192" s="13"/>
      <c r="G192" s="13"/>
      <c r="H192" s="13"/>
      <c r="I192" s="13"/>
      <c r="J192" s="13"/>
      <c r="K192" s="13"/>
      <c r="L192" s="31"/>
      <c r="M192" s="31"/>
      <c r="N192" s="31"/>
      <c r="O192" s="31"/>
      <c r="P192" s="31"/>
      <c r="Q192" s="31"/>
      <c r="R192" s="38"/>
      <c r="S192" s="31"/>
      <c r="T192" s="13"/>
      <c r="U192" s="13"/>
      <c r="V192" s="13"/>
    </row>
    <row r="193" spans="1:22">
      <c r="A193" s="26"/>
      <c r="B193" s="14"/>
      <c r="C193" s="13"/>
      <c r="D193" s="13"/>
      <c r="E193" s="13"/>
      <c r="F193" s="13"/>
      <c r="G193" s="13"/>
      <c r="H193" s="13"/>
      <c r="I193" s="13"/>
      <c r="J193" s="13"/>
      <c r="K193" s="13"/>
      <c r="L193" s="31"/>
      <c r="M193" s="31"/>
      <c r="N193" s="31"/>
      <c r="O193" s="31"/>
      <c r="P193" s="31"/>
      <c r="Q193" s="31"/>
      <c r="R193" s="38"/>
      <c r="S193" s="31"/>
      <c r="T193" s="13"/>
      <c r="U193" s="13"/>
      <c r="V193" s="13"/>
    </row>
    <row r="194" spans="1:22">
      <c r="A194" s="26"/>
      <c r="B194" s="14"/>
      <c r="C194" s="13"/>
      <c r="D194" s="13"/>
      <c r="E194" s="13"/>
      <c r="F194" s="13"/>
      <c r="G194" s="13"/>
      <c r="H194" s="13"/>
      <c r="I194" s="13"/>
      <c r="J194" s="13"/>
      <c r="K194" s="13"/>
      <c r="L194" s="31"/>
      <c r="M194" s="31"/>
      <c r="N194" s="31"/>
      <c r="O194" s="31"/>
      <c r="P194" s="31"/>
      <c r="Q194" s="31"/>
      <c r="R194" s="38"/>
      <c r="S194" s="31"/>
      <c r="T194" s="13"/>
      <c r="U194" s="13"/>
      <c r="V194" s="13"/>
    </row>
    <row r="195" spans="1:22">
      <c r="A195" s="26"/>
      <c r="B195" s="14"/>
      <c r="C195" s="13"/>
      <c r="D195" s="13"/>
      <c r="E195" s="13"/>
      <c r="F195" s="13"/>
      <c r="G195" s="13"/>
      <c r="H195" s="13"/>
      <c r="I195" s="13"/>
      <c r="J195" s="13"/>
      <c r="K195" s="13"/>
      <c r="L195" s="31"/>
      <c r="M195" s="31"/>
      <c r="N195" s="31"/>
      <c r="O195" s="31"/>
      <c r="P195" s="31"/>
      <c r="Q195" s="31"/>
      <c r="R195" s="38"/>
      <c r="S195" s="31"/>
      <c r="T195" s="13"/>
      <c r="U195" s="13"/>
      <c r="V195" s="13"/>
    </row>
    <row r="196" spans="1:22">
      <c r="A196" s="26"/>
      <c r="B196" s="14"/>
      <c r="C196" s="13"/>
      <c r="D196" s="13"/>
      <c r="E196" s="13"/>
      <c r="F196" s="13"/>
      <c r="G196" s="13"/>
      <c r="H196" s="13"/>
      <c r="I196" s="13"/>
      <c r="J196" s="13"/>
      <c r="K196" s="13"/>
      <c r="L196" s="31"/>
      <c r="M196" s="31"/>
      <c r="N196" s="31"/>
      <c r="O196" s="31"/>
      <c r="P196" s="31"/>
      <c r="Q196" s="31"/>
      <c r="R196" s="38"/>
      <c r="S196" s="31"/>
      <c r="T196" s="13"/>
      <c r="U196" s="13"/>
      <c r="V196" s="13"/>
    </row>
    <row r="197" spans="1:22">
      <c r="A197" s="26"/>
      <c r="B197" s="14"/>
      <c r="C197" s="13"/>
      <c r="D197" s="13"/>
      <c r="E197" s="13"/>
      <c r="F197" s="13"/>
      <c r="G197" s="13"/>
      <c r="H197" s="13"/>
      <c r="I197" s="13"/>
      <c r="J197" s="13"/>
      <c r="K197" s="13"/>
      <c r="L197" s="31"/>
      <c r="M197" s="31"/>
      <c r="N197" s="31"/>
      <c r="O197" s="31"/>
      <c r="P197" s="31"/>
      <c r="Q197" s="31"/>
      <c r="R197" s="38"/>
      <c r="S197" s="31"/>
      <c r="T197" s="13"/>
      <c r="U197" s="13"/>
      <c r="V197" s="13"/>
    </row>
    <row r="198" spans="1:22">
      <c r="A198" s="26"/>
      <c r="B198" s="14"/>
      <c r="C198" s="13"/>
      <c r="D198" s="13"/>
      <c r="E198" s="13"/>
      <c r="F198" s="13"/>
      <c r="G198" s="13"/>
      <c r="H198" s="13"/>
      <c r="I198" s="13"/>
      <c r="J198" s="13"/>
      <c r="K198" s="13"/>
      <c r="L198" s="31"/>
      <c r="M198" s="31"/>
      <c r="N198" s="31"/>
      <c r="O198" s="31"/>
      <c r="P198" s="31"/>
      <c r="Q198" s="31"/>
      <c r="R198" s="38"/>
      <c r="S198" s="31"/>
      <c r="T198" s="13"/>
      <c r="U198" s="13"/>
      <c r="V198" s="13"/>
    </row>
    <row r="199" spans="1:22">
      <c r="A199" s="26"/>
      <c r="B199" s="14"/>
      <c r="C199" s="13"/>
      <c r="D199" s="13"/>
      <c r="E199" s="13"/>
      <c r="F199" s="13"/>
      <c r="G199" s="13"/>
      <c r="H199" s="13"/>
      <c r="I199" s="13"/>
      <c r="J199" s="13"/>
      <c r="K199" s="13"/>
      <c r="L199" s="31"/>
      <c r="M199" s="31"/>
      <c r="N199" s="31"/>
      <c r="O199" s="31"/>
      <c r="P199" s="31"/>
      <c r="Q199" s="31"/>
      <c r="R199" s="38"/>
      <c r="S199" s="31"/>
      <c r="T199" s="13"/>
      <c r="U199" s="13"/>
      <c r="V199" s="13"/>
    </row>
    <row r="200" spans="1:22">
      <c r="A200" s="26"/>
      <c r="B200" s="14"/>
      <c r="C200" s="13"/>
      <c r="D200" s="13"/>
      <c r="E200" s="13"/>
      <c r="F200" s="13"/>
      <c r="G200" s="13"/>
      <c r="H200" s="13"/>
      <c r="I200" s="13"/>
      <c r="J200" s="13"/>
      <c r="K200" s="13"/>
      <c r="L200" s="31"/>
      <c r="M200" s="31"/>
      <c r="N200" s="31"/>
      <c r="O200" s="31"/>
      <c r="P200" s="31"/>
      <c r="Q200" s="31"/>
      <c r="R200" s="38"/>
      <c r="S200" s="31"/>
      <c r="T200" s="13"/>
      <c r="U200" s="13"/>
      <c r="V200" s="13"/>
    </row>
    <row r="201" spans="1:22">
      <c r="R201" s="32"/>
    </row>
    <row r="202" spans="1:22">
      <c r="R202" s="32"/>
    </row>
  </sheetData>
  <mergeCells count="2">
    <mergeCell ref="A156:K156"/>
    <mergeCell ref="A158:S158"/>
  </mergeCells>
  <pageMargins left="0.45" right="0.45" top="0.75" bottom="0.5" header="0.3" footer="0.3"/>
  <pageSetup paperSize="5" scale="59" fitToHeight="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335"/>
  <sheetViews>
    <sheetView zoomScaleNormal="100" workbookViewId="0">
      <pane xSplit="1" ySplit="3" topLeftCell="B32" activePane="bottomRight" state="frozen"/>
      <selection activeCell="T52" sqref="T52"/>
      <selection pane="topRight" activeCell="T52" sqref="T52"/>
      <selection pane="bottomLeft" activeCell="T52" sqref="T52"/>
      <selection pane="bottomRight" activeCell="A42" sqref="A42"/>
    </sheetView>
  </sheetViews>
  <sheetFormatPr defaultColWidth="9.109375" defaultRowHeight="14.4" outlineLevelRow="1" outlineLevelCol="1"/>
  <cols>
    <col min="1" max="1" width="58.109375" style="7" customWidth="1"/>
    <col min="2" max="2" width="9.109375" style="5" customWidth="1" outlineLevel="1"/>
    <col min="3" max="3" width="9.109375" style="2" customWidth="1" outlineLevel="1"/>
    <col min="4" max="5" width="9.33203125" style="2" customWidth="1" outlineLevel="1"/>
    <col min="6" max="6" width="9.33203125" style="65" bestFit="1" customWidth="1"/>
    <col min="7" max="7" width="9.33203125" style="65" customWidth="1" outlineLevel="1"/>
    <col min="8" max="10" width="9.33203125" style="2" customWidth="1" outlineLevel="1"/>
    <col min="11" max="11" width="10.44140625" style="65" customWidth="1"/>
    <col min="12" max="12" width="9.33203125" style="65" customWidth="1" outlineLevel="1"/>
    <col min="13" max="15" width="9.33203125" style="2" customWidth="1" outlineLevel="1"/>
    <col min="16" max="16" width="11" style="65" customWidth="1"/>
    <col min="17" max="17" width="9.33203125" style="65" customWidth="1" outlineLevel="1"/>
    <col min="18" max="19" width="9.33203125" style="2" customWidth="1" outlineLevel="1"/>
    <col min="20" max="20" width="9.109375" style="2" customWidth="1" outlineLevel="1"/>
    <col min="21" max="21" width="10.33203125" style="2" customWidth="1"/>
    <col min="22" max="16384" width="9.109375" style="2"/>
  </cols>
  <sheetData>
    <row r="1" spans="1:22">
      <c r="A1" s="184" t="s">
        <v>231</v>
      </c>
      <c r="B1" s="14"/>
      <c r="C1" s="13"/>
      <c r="D1" s="13"/>
      <c r="E1" s="13"/>
      <c r="F1" s="13"/>
      <c r="G1" s="13"/>
      <c r="H1" s="13"/>
      <c r="I1" s="13"/>
      <c r="J1" s="13"/>
      <c r="K1" s="13"/>
      <c r="L1" s="13"/>
      <c r="M1" s="13"/>
      <c r="N1" s="13"/>
      <c r="O1" s="13"/>
      <c r="P1" s="13"/>
      <c r="Q1" s="13"/>
      <c r="R1" s="13"/>
      <c r="S1" s="13"/>
    </row>
    <row r="2" spans="1:22">
      <c r="A2" s="85" t="s">
        <v>207</v>
      </c>
      <c r="B2" s="81"/>
      <c r="C2" s="81"/>
      <c r="D2" s="74"/>
      <c r="E2" s="74"/>
      <c r="F2" s="74"/>
      <c r="G2" s="74"/>
      <c r="H2" s="74"/>
      <c r="I2" s="74"/>
      <c r="J2" s="74"/>
      <c r="K2" s="74"/>
      <c r="L2" s="74"/>
      <c r="M2" s="74"/>
      <c r="N2" s="74"/>
      <c r="O2" s="74"/>
      <c r="P2" s="74"/>
      <c r="Q2" s="74"/>
      <c r="R2" s="74"/>
      <c r="S2" s="74"/>
    </row>
    <row r="3" spans="1:22" s="24" customFormat="1">
      <c r="A3" s="278"/>
      <c r="B3" s="111" t="s">
        <v>43</v>
      </c>
      <c r="C3" s="111" t="s">
        <v>46</v>
      </c>
      <c r="D3" s="111" t="s">
        <v>45</v>
      </c>
      <c r="E3" s="111" t="s">
        <v>44</v>
      </c>
      <c r="F3" s="183">
        <v>2014</v>
      </c>
      <c r="G3" s="183" t="s">
        <v>39</v>
      </c>
      <c r="H3" s="111" t="s">
        <v>42</v>
      </c>
      <c r="I3" s="111" t="s">
        <v>41</v>
      </c>
      <c r="J3" s="111" t="s">
        <v>40</v>
      </c>
      <c r="K3" s="183">
        <v>2015</v>
      </c>
      <c r="L3" s="183" t="s">
        <v>38</v>
      </c>
      <c r="M3" s="111" t="s">
        <v>37</v>
      </c>
      <c r="N3" s="111" t="s">
        <v>36</v>
      </c>
      <c r="O3" s="111" t="s">
        <v>35</v>
      </c>
      <c r="P3" s="183">
        <v>2016</v>
      </c>
      <c r="Q3" s="183" t="s">
        <v>34</v>
      </c>
      <c r="R3" s="111" t="s">
        <v>33</v>
      </c>
      <c r="S3" s="111" t="s">
        <v>52</v>
      </c>
      <c r="T3" s="111" t="s">
        <v>256</v>
      </c>
      <c r="U3" s="183">
        <v>2017</v>
      </c>
    </row>
    <row r="4" spans="1:22" s="463" customFormat="1">
      <c r="A4" s="454" t="s">
        <v>226</v>
      </c>
      <c r="B4" s="459"/>
      <c r="C4" s="459"/>
      <c r="D4" s="459"/>
      <c r="E4" s="459"/>
      <c r="F4" s="460"/>
      <c r="G4" s="460"/>
      <c r="H4" s="459"/>
      <c r="I4" s="459"/>
      <c r="J4" s="459"/>
      <c r="K4" s="460"/>
      <c r="L4" s="460"/>
      <c r="M4" s="459"/>
      <c r="N4" s="459"/>
      <c r="O4" s="459"/>
      <c r="P4" s="460"/>
      <c r="Q4" s="460"/>
      <c r="R4" s="461"/>
      <c r="S4" s="462"/>
      <c r="T4" s="462"/>
      <c r="U4" s="460"/>
    </row>
    <row r="5" spans="1:22">
      <c r="A5" s="362" t="s">
        <v>132</v>
      </c>
      <c r="B5" s="259">
        <f t="shared" ref="B5:R5" si="0">+B29+B53+B77+B101+B124</f>
        <v>1328.3486741081178</v>
      </c>
      <c r="C5" s="259">
        <f t="shared" si="0"/>
        <v>1591.723511426291</v>
      </c>
      <c r="D5" s="259">
        <f t="shared" si="0"/>
        <v>1697.767485935731</v>
      </c>
      <c r="E5" s="259">
        <f t="shared" si="0"/>
        <v>2173.4518532575603</v>
      </c>
      <c r="F5" s="260">
        <f t="shared" si="0"/>
        <v>6791.2915247277024</v>
      </c>
      <c r="G5" s="260">
        <f t="shared" si="0"/>
        <v>1455.1398744586572</v>
      </c>
      <c r="H5" s="259">
        <f t="shared" si="0"/>
        <v>1780.2232168268549</v>
      </c>
      <c r="I5" s="259">
        <f t="shared" si="0"/>
        <v>1939.7029883429059</v>
      </c>
      <c r="J5" s="259">
        <f t="shared" si="0"/>
        <v>2555.2708587197721</v>
      </c>
      <c r="K5" s="260">
        <f t="shared" si="0"/>
        <v>7730.336938348184</v>
      </c>
      <c r="L5" s="260">
        <f t="shared" si="0"/>
        <v>1836.374531083474</v>
      </c>
      <c r="M5" s="259">
        <f t="shared" si="0"/>
        <v>2120.2487561982161</v>
      </c>
      <c r="N5" s="259">
        <f t="shared" si="0"/>
        <v>2113.9068196579483</v>
      </c>
      <c r="O5" s="259">
        <f t="shared" si="0"/>
        <v>2655.2988590565419</v>
      </c>
      <c r="P5" s="260">
        <f t="shared" si="0"/>
        <v>8725.828965996192</v>
      </c>
      <c r="Q5" s="260">
        <f t="shared" si="0"/>
        <v>1921.0135342730146</v>
      </c>
      <c r="R5" s="259">
        <f t="shared" si="0"/>
        <v>2192.3546087108234</v>
      </c>
      <c r="S5" s="261">
        <v>2321.3000000000002</v>
      </c>
      <c r="T5" s="261">
        <v>2954.6</v>
      </c>
      <c r="U5" s="260">
        <f>+Q5+R5+S5+T5</f>
        <v>9389.2681429838376</v>
      </c>
      <c r="V5" s="487" t="s">
        <v>97</v>
      </c>
    </row>
    <row r="6" spans="1:22" s="19" customFormat="1">
      <c r="A6" s="363" t="s">
        <v>49</v>
      </c>
      <c r="B6" s="164">
        <f t="shared" ref="B6:R6" si="1">+B30+B54+B78+B102+B125</f>
        <v>532.49342759229296</v>
      </c>
      <c r="C6" s="164">
        <f t="shared" si="1"/>
        <v>535.08222468569795</v>
      </c>
      <c r="D6" s="164">
        <f t="shared" si="1"/>
        <v>577.3086359055128</v>
      </c>
      <c r="E6" s="164">
        <f t="shared" si="1"/>
        <v>613.74182730251596</v>
      </c>
      <c r="F6" s="187">
        <f t="shared" si="1"/>
        <v>2258.6261154860108</v>
      </c>
      <c r="G6" s="187">
        <f t="shared" si="1"/>
        <v>597.36323608061593</v>
      </c>
      <c r="H6" s="164">
        <f t="shared" si="1"/>
        <v>610.28310806371587</v>
      </c>
      <c r="I6" s="164">
        <f t="shared" si="1"/>
        <v>772.85567548192898</v>
      </c>
      <c r="J6" s="164">
        <f t="shared" si="1"/>
        <v>1144.971427654461</v>
      </c>
      <c r="K6" s="187">
        <f t="shared" si="1"/>
        <v>3125.4734472807331</v>
      </c>
      <c r="L6" s="187">
        <f t="shared" si="1"/>
        <v>1010.3593672466309</v>
      </c>
      <c r="M6" s="164">
        <f t="shared" si="1"/>
        <v>1087.2879807804179</v>
      </c>
      <c r="N6" s="164">
        <f t="shared" si="1"/>
        <v>1079.5801727533931</v>
      </c>
      <c r="O6" s="164">
        <f t="shared" si="1"/>
        <v>1168.53214866144</v>
      </c>
      <c r="P6" s="187">
        <f t="shared" si="1"/>
        <v>4345.7596694418789</v>
      </c>
      <c r="Q6" s="187">
        <f t="shared" si="1"/>
        <v>1060.1288715197709</v>
      </c>
      <c r="R6" s="164">
        <f t="shared" si="1"/>
        <v>1149.8601930444761</v>
      </c>
      <c r="S6" s="250">
        <v>1228.7</v>
      </c>
      <c r="T6" s="250">
        <v>1381.6</v>
      </c>
      <c r="U6" s="187">
        <f>+Q6+R6+S6+T6</f>
        <v>4820.2890645642474</v>
      </c>
      <c r="V6" s="488" t="s">
        <v>97</v>
      </c>
    </row>
    <row r="7" spans="1:22">
      <c r="A7" s="362" t="s">
        <v>152</v>
      </c>
      <c r="B7" s="259">
        <f t="shared" ref="B7:R7" si="2">+B31+B55+B79+B103+B126</f>
        <v>1860.8421017004109</v>
      </c>
      <c r="C7" s="259">
        <f t="shared" si="2"/>
        <v>2126.8057361119891</v>
      </c>
      <c r="D7" s="259">
        <f t="shared" si="2"/>
        <v>2275.076121841244</v>
      </c>
      <c r="E7" s="259">
        <f t="shared" si="2"/>
        <v>2787.1936805600758</v>
      </c>
      <c r="F7" s="260">
        <f t="shared" si="2"/>
        <v>9049.9176402137145</v>
      </c>
      <c r="G7" s="260">
        <f t="shared" si="2"/>
        <v>2052.5031105392732</v>
      </c>
      <c r="H7" s="259">
        <f t="shared" si="2"/>
        <v>2390.5063248905708</v>
      </c>
      <c r="I7" s="259">
        <f t="shared" si="2"/>
        <v>2712.5586638248351</v>
      </c>
      <c r="J7" s="259">
        <f t="shared" si="2"/>
        <v>3700.2422863742327</v>
      </c>
      <c r="K7" s="260">
        <f t="shared" si="2"/>
        <v>10855.810385628914</v>
      </c>
      <c r="L7" s="260">
        <f t="shared" si="2"/>
        <v>2846.7338983301047</v>
      </c>
      <c r="M7" s="259">
        <f t="shared" si="2"/>
        <v>3207.5367369786345</v>
      </c>
      <c r="N7" s="259">
        <f t="shared" si="2"/>
        <v>3193.4869924113418</v>
      </c>
      <c r="O7" s="259">
        <f t="shared" si="2"/>
        <v>3823.8310077179822</v>
      </c>
      <c r="P7" s="260">
        <f t="shared" si="2"/>
        <v>13071.588635438071</v>
      </c>
      <c r="Q7" s="260">
        <f t="shared" si="2"/>
        <v>2981.2037609541985</v>
      </c>
      <c r="R7" s="259">
        <f t="shared" si="2"/>
        <v>3342.2148017552995</v>
      </c>
      <c r="S7" s="261">
        <f>+S5+S6</f>
        <v>3550</v>
      </c>
      <c r="T7" s="261">
        <f>+T5+T6</f>
        <v>4336.2</v>
      </c>
      <c r="U7" s="260">
        <f>+U5+U6</f>
        <v>14209.557207548085</v>
      </c>
      <c r="V7" s="487" t="s">
        <v>97</v>
      </c>
    </row>
    <row r="8" spans="1:22" ht="3" customHeight="1">
      <c r="A8" s="175"/>
      <c r="B8" s="174"/>
      <c r="C8" s="174"/>
      <c r="D8" s="174"/>
      <c r="E8" s="174"/>
      <c r="F8" s="186"/>
      <c r="G8" s="186"/>
      <c r="H8" s="174"/>
      <c r="I8" s="174"/>
      <c r="J8" s="174"/>
      <c r="K8" s="186"/>
      <c r="L8" s="186"/>
      <c r="M8" s="174"/>
      <c r="N8" s="174"/>
      <c r="O8" s="174"/>
      <c r="P8" s="186"/>
      <c r="Q8" s="186"/>
      <c r="R8" s="174"/>
      <c r="S8" s="191"/>
      <c r="T8" s="191"/>
      <c r="U8" s="186"/>
      <c r="V8" s="487" t="s">
        <v>97</v>
      </c>
    </row>
    <row r="9" spans="1:22">
      <c r="A9" s="175" t="s">
        <v>167</v>
      </c>
      <c r="B9" s="255">
        <f t="shared" ref="B9:R9" si="3">+B33+B57+B81</f>
        <v>1161.4604834777831</v>
      </c>
      <c r="C9" s="255">
        <f t="shared" si="3"/>
        <v>1314.4724831185461</v>
      </c>
      <c r="D9" s="255">
        <f t="shared" si="3"/>
        <v>1428.9863418670691</v>
      </c>
      <c r="E9" s="255">
        <f t="shared" si="3"/>
        <v>1706.3420978935878</v>
      </c>
      <c r="F9" s="256">
        <f t="shared" si="3"/>
        <v>5611.2614063569818</v>
      </c>
      <c r="G9" s="256">
        <f t="shared" si="3"/>
        <v>1290.7770149505429</v>
      </c>
      <c r="H9" s="255">
        <f t="shared" si="3"/>
        <v>1487.9747200857109</v>
      </c>
      <c r="I9" s="255">
        <f t="shared" si="3"/>
        <v>1773.6597526007449</v>
      </c>
      <c r="J9" s="255">
        <f t="shared" si="3"/>
        <v>2530.5206848668254</v>
      </c>
      <c r="K9" s="256">
        <f t="shared" si="3"/>
        <v>7082.9321725038262</v>
      </c>
      <c r="L9" s="256">
        <f t="shared" si="3"/>
        <v>2013.6125027232297</v>
      </c>
      <c r="M9" s="255">
        <f t="shared" si="3"/>
        <v>2254.2330527452523</v>
      </c>
      <c r="N9" s="255">
        <f t="shared" si="3"/>
        <v>2252.7826852733069</v>
      </c>
      <c r="O9" s="255">
        <f t="shared" si="3"/>
        <v>2603.0985624799091</v>
      </c>
      <c r="P9" s="256">
        <f t="shared" si="3"/>
        <v>9123.7268032216998</v>
      </c>
      <c r="Q9" s="256">
        <f t="shared" si="3"/>
        <v>2087.0790086125317</v>
      </c>
      <c r="R9" s="255">
        <f t="shared" si="3"/>
        <v>2318.561696114918</v>
      </c>
      <c r="S9" s="191">
        <v>2513.4</v>
      </c>
      <c r="T9" s="191">
        <v>2974.2</v>
      </c>
      <c r="U9" s="256">
        <f>+Q9+R9+S9+T9</f>
        <v>9893.2407047274501</v>
      </c>
      <c r="V9" s="487" t="s">
        <v>97</v>
      </c>
    </row>
    <row r="10" spans="1:22">
      <c r="A10" s="175" t="s">
        <v>168</v>
      </c>
      <c r="B10" s="255">
        <f t="shared" ref="B10:R10" si="4">+B34+B58+B82+B105+B128</f>
        <v>528.39469063529702</v>
      </c>
      <c r="C10" s="255">
        <f t="shared" si="4"/>
        <v>566.20297187637107</v>
      </c>
      <c r="D10" s="255">
        <f t="shared" si="4"/>
        <v>601.02515494073032</v>
      </c>
      <c r="E10" s="255">
        <f t="shared" si="4"/>
        <v>743.33753746635193</v>
      </c>
      <c r="F10" s="256">
        <f t="shared" si="4"/>
        <v>2438.9603549187509</v>
      </c>
      <c r="G10" s="256">
        <f t="shared" si="4"/>
        <v>531.77451466510126</v>
      </c>
      <c r="H10" s="255">
        <f t="shared" si="4"/>
        <v>610.15773761190007</v>
      </c>
      <c r="I10" s="255">
        <f t="shared" si="4"/>
        <v>626.9047050046812</v>
      </c>
      <c r="J10" s="255">
        <f t="shared" si="4"/>
        <v>864.77347308357571</v>
      </c>
      <c r="K10" s="256">
        <f t="shared" si="4"/>
        <v>2633.6104303652578</v>
      </c>
      <c r="L10" s="256">
        <f t="shared" si="4"/>
        <v>643.36676211990437</v>
      </c>
      <c r="M10" s="255">
        <f t="shared" si="4"/>
        <v>680.44212274144672</v>
      </c>
      <c r="N10" s="255">
        <f t="shared" si="4"/>
        <v>686.52995740157689</v>
      </c>
      <c r="O10" s="255">
        <f t="shared" si="4"/>
        <v>770.96128379213962</v>
      </c>
      <c r="P10" s="256">
        <f t="shared" si="4"/>
        <v>2781.3001260550673</v>
      </c>
      <c r="Q10" s="256">
        <f t="shared" si="4"/>
        <v>606.20851140556965</v>
      </c>
      <c r="R10" s="255">
        <f t="shared" si="4"/>
        <v>712.37415335416745</v>
      </c>
      <c r="S10" s="191">
        <v>704.9</v>
      </c>
      <c r="T10" s="191">
        <v>835.2</v>
      </c>
      <c r="U10" s="256">
        <f>+Q10+R10+S10+T10</f>
        <v>2858.6826647597372</v>
      </c>
      <c r="V10" s="487" t="s">
        <v>97</v>
      </c>
    </row>
    <row r="11" spans="1:22" s="19" customFormat="1">
      <c r="A11" s="363" t="s">
        <v>169</v>
      </c>
      <c r="B11" s="257">
        <f t="shared" ref="B11:R11" si="5">+B35+B59+B83+B106+B129</f>
        <v>65.202766461531553</v>
      </c>
      <c r="C11" s="257">
        <f t="shared" si="5"/>
        <v>63.295314906092429</v>
      </c>
      <c r="D11" s="257">
        <f t="shared" si="5"/>
        <v>67.15928142681399</v>
      </c>
      <c r="E11" s="257">
        <f t="shared" si="5"/>
        <v>69.44418221129142</v>
      </c>
      <c r="F11" s="258">
        <f t="shared" si="5"/>
        <v>265.10154500572975</v>
      </c>
      <c r="G11" s="258">
        <f t="shared" si="5"/>
        <v>69.845710618401839</v>
      </c>
      <c r="H11" s="257">
        <f t="shared" si="5"/>
        <v>70.605130248105297</v>
      </c>
      <c r="I11" s="257">
        <f t="shared" si="5"/>
        <v>75.047208443487762</v>
      </c>
      <c r="J11" s="257">
        <f t="shared" si="5"/>
        <v>98.598304808609186</v>
      </c>
      <c r="K11" s="258">
        <f t="shared" si="5"/>
        <v>314.09635411860449</v>
      </c>
      <c r="L11" s="258">
        <f t="shared" si="5"/>
        <v>86.993847200234626</v>
      </c>
      <c r="M11" s="257">
        <f t="shared" si="5"/>
        <v>90.267776900454535</v>
      </c>
      <c r="N11" s="257">
        <f t="shared" si="5"/>
        <v>92.725636387581332</v>
      </c>
      <c r="O11" s="257">
        <f t="shared" si="5"/>
        <v>96.939862713217792</v>
      </c>
      <c r="P11" s="258">
        <f t="shared" si="5"/>
        <v>366.92712320148814</v>
      </c>
      <c r="Q11" s="258">
        <f t="shared" si="5"/>
        <v>94.03677275944132</v>
      </c>
      <c r="R11" s="257">
        <f t="shared" si="5"/>
        <v>100.38673712961237</v>
      </c>
      <c r="S11" s="250">
        <v>102.6</v>
      </c>
      <c r="T11" s="250">
        <v>109.1</v>
      </c>
      <c r="U11" s="258">
        <f>+Q11+R11+S11+T11</f>
        <v>406.12350988905371</v>
      </c>
      <c r="V11" s="488" t="s">
        <v>97</v>
      </c>
    </row>
    <row r="12" spans="1:22" s="13" customFormat="1">
      <c r="A12" s="175" t="s">
        <v>6</v>
      </c>
      <c r="B12" s="174">
        <f t="shared" ref="B12:R12" si="6">+B36+B60+B84+B107+B130</f>
        <v>1755.0579405746116</v>
      </c>
      <c r="C12" s="174">
        <f t="shared" si="6"/>
        <v>1943.9707699010096</v>
      </c>
      <c r="D12" s="174">
        <f t="shared" si="6"/>
        <v>2097.1707782346134</v>
      </c>
      <c r="E12" s="174">
        <f t="shared" si="6"/>
        <v>2519.1238175712315</v>
      </c>
      <c r="F12" s="186">
        <f t="shared" si="6"/>
        <v>8315.3233062814634</v>
      </c>
      <c r="G12" s="186">
        <f t="shared" si="6"/>
        <v>1892.397240234046</v>
      </c>
      <c r="H12" s="174">
        <f t="shared" si="6"/>
        <v>2168.7375879457168</v>
      </c>
      <c r="I12" s="174">
        <f t="shared" si="6"/>
        <v>2475.6116660489142</v>
      </c>
      <c r="J12" s="174">
        <f t="shared" si="6"/>
        <v>3493.89246275901</v>
      </c>
      <c r="K12" s="186">
        <f t="shared" si="6"/>
        <v>10030.638956987688</v>
      </c>
      <c r="L12" s="186">
        <f t="shared" si="6"/>
        <v>2743.9731120433689</v>
      </c>
      <c r="M12" s="174">
        <f t="shared" si="6"/>
        <v>3024.9429523871536</v>
      </c>
      <c r="N12" s="174">
        <f t="shared" si="6"/>
        <v>3032.0382790624649</v>
      </c>
      <c r="O12" s="174">
        <f t="shared" si="6"/>
        <v>3470.9997089852664</v>
      </c>
      <c r="P12" s="186">
        <f t="shared" si="6"/>
        <v>12271.954052478253</v>
      </c>
      <c r="Q12" s="186">
        <f t="shared" si="6"/>
        <v>2787.3242927775432</v>
      </c>
      <c r="R12" s="174">
        <f t="shared" si="6"/>
        <v>3131.3225865986974</v>
      </c>
      <c r="S12" s="193">
        <f>+S9+S10+S11</f>
        <v>3320.9</v>
      </c>
      <c r="T12" s="193">
        <f>+T9+T10+T11</f>
        <v>3918.4999999999995</v>
      </c>
      <c r="U12" s="186">
        <f>+U9+U10+U11</f>
        <v>13158.046879376241</v>
      </c>
      <c r="V12" s="487" t="s">
        <v>97</v>
      </c>
    </row>
    <row r="13" spans="1:22" ht="3.75" customHeight="1">
      <c r="A13" s="175"/>
      <c r="B13" s="174"/>
      <c r="C13" s="174"/>
      <c r="D13" s="174"/>
      <c r="E13" s="174"/>
      <c r="F13" s="186"/>
      <c r="G13" s="186"/>
      <c r="H13" s="174"/>
      <c r="I13" s="174"/>
      <c r="J13" s="174"/>
      <c r="K13" s="186"/>
      <c r="L13" s="186"/>
      <c r="M13" s="174"/>
      <c r="N13" s="174"/>
      <c r="O13" s="174"/>
      <c r="P13" s="186"/>
      <c r="Q13" s="186"/>
      <c r="R13" s="174"/>
      <c r="S13" s="191"/>
      <c r="T13" s="191"/>
      <c r="U13" s="186"/>
      <c r="V13" s="487" t="s">
        <v>97</v>
      </c>
    </row>
    <row r="14" spans="1:22">
      <c r="A14" s="175" t="s">
        <v>7</v>
      </c>
      <c r="B14" s="255">
        <f t="shared" ref="B14:R14" si="7">+B38+B62+B86+B109+B132</f>
        <v>6.6971904599999998</v>
      </c>
      <c r="C14" s="255">
        <f t="shared" si="7"/>
        <v>23.170188339999999</v>
      </c>
      <c r="D14" s="255">
        <f t="shared" si="7"/>
        <v>7.2354124500000001</v>
      </c>
      <c r="E14" s="255">
        <f t="shared" si="7"/>
        <v>20.556442420000003</v>
      </c>
      <c r="F14" s="256">
        <f t="shared" si="7"/>
        <v>57.659233669999992</v>
      </c>
      <c r="G14" s="256">
        <f t="shared" si="7"/>
        <v>0</v>
      </c>
      <c r="H14" s="255">
        <f t="shared" si="7"/>
        <v>6.9857551900000008</v>
      </c>
      <c r="I14" s="255">
        <f t="shared" si="7"/>
        <v>3.1539097999999997</v>
      </c>
      <c r="J14" s="255">
        <f t="shared" si="7"/>
        <v>0.63127465999999999</v>
      </c>
      <c r="K14" s="256">
        <f t="shared" si="7"/>
        <v>10.770939650000001</v>
      </c>
      <c r="L14" s="256">
        <f t="shared" si="7"/>
        <v>4.8190280699999999</v>
      </c>
      <c r="M14" s="255">
        <f t="shared" si="7"/>
        <v>0</v>
      </c>
      <c r="N14" s="255">
        <f t="shared" si="7"/>
        <v>11.042806240000001</v>
      </c>
      <c r="O14" s="255">
        <f t="shared" si="7"/>
        <v>0</v>
      </c>
      <c r="P14" s="256">
        <f t="shared" si="7"/>
        <v>15.851615949999999</v>
      </c>
      <c r="Q14" s="256">
        <f t="shared" si="7"/>
        <v>1.3852273400000001</v>
      </c>
      <c r="R14" s="255">
        <f t="shared" si="7"/>
        <v>11.297729619999998</v>
      </c>
      <c r="S14" s="191">
        <v>6.2</v>
      </c>
      <c r="T14" s="191">
        <v>1</v>
      </c>
      <c r="U14" s="256">
        <f t="shared" ref="U14" si="8">+U38+U62+U86+U109+U132</f>
        <v>19.882956959999998</v>
      </c>
      <c r="V14" s="487" t="s">
        <v>97</v>
      </c>
    </row>
    <row r="15" spans="1:22" ht="3" customHeight="1">
      <c r="A15" s="175"/>
      <c r="B15" s="174"/>
      <c r="C15" s="174"/>
      <c r="D15" s="174"/>
      <c r="E15" s="174"/>
      <c r="F15" s="186"/>
      <c r="G15" s="186"/>
      <c r="H15" s="174"/>
      <c r="I15" s="174"/>
      <c r="J15" s="174"/>
      <c r="K15" s="186"/>
      <c r="L15" s="186"/>
      <c r="M15" s="174"/>
      <c r="N15" s="174"/>
      <c r="O15" s="174"/>
      <c r="P15" s="186"/>
      <c r="Q15" s="186"/>
      <c r="R15" s="174"/>
      <c r="S15" s="191"/>
      <c r="T15" s="191"/>
      <c r="U15" s="186"/>
      <c r="V15" s="487" t="s">
        <v>97</v>
      </c>
    </row>
    <row r="16" spans="1:22">
      <c r="A16" s="175" t="s">
        <v>8</v>
      </c>
      <c r="B16" s="174">
        <f t="shared" ref="B16:R16" si="9">+B40+B64+B88+B111+B134</f>
        <v>112.48135158579937</v>
      </c>
      <c r="C16" s="174">
        <f t="shared" si="9"/>
        <v>206.00515455097946</v>
      </c>
      <c r="D16" s="174">
        <f t="shared" si="9"/>
        <v>185.14075605663044</v>
      </c>
      <c r="E16" s="174">
        <f t="shared" si="9"/>
        <v>288.62630540884459</v>
      </c>
      <c r="F16" s="186">
        <f t="shared" si="9"/>
        <v>792.25356760226168</v>
      </c>
      <c r="G16" s="186">
        <f t="shared" si="9"/>
        <v>160.10587030522706</v>
      </c>
      <c r="H16" s="174">
        <f t="shared" si="9"/>
        <v>228.75449213485444</v>
      </c>
      <c r="I16" s="174">
        <f t="shared" si="9"/>
        <v>240.10090757592116</v>
      </c>
      <c r="J16" s="174">
        <f t="shared" si="9"/>
        <v>206.98109827522288</v>
      </c>
      <c r="K16" s="186">
        <f t="shared" si="9"/>
        <v>835.94236829123145</v>
      </c>
      <c r="L16" s="186">
        <f t="shared" si="9"/>
        <v>107.57981435673605</v>
      </c>
      <c r="M16" s="174">
        <f t="shared" si="9"/>
        <v>182.59392523148054</v>
      </c>
      <c r="N16" s="174">
        <f t="shared" si="9"/>
        <v>172.4915195888766</v>
      </c>
      <c r="O16" s="174">
        <f t="shared" si="9"/>
        <v>352.82093973271549</v>
      </c>
      <c r="P16" s="186">
        <f t="shared" si="9"/>
        <v>815.48619890981672</v>
      </c>
      <c r="Q16" s="186">
        <f t="shared" si="9"/>
        <v>195.19201181326028</v>
      </c>
      <c r="R16" s="174">
        <f t="shared" si="9"/>
        <v>222.20162770013508</v>
      </c>
      <c r="S16" s="191">
        <f>+S7-S12+S14</f>
        <v>235.2999999999999</v>
      </c>
      <c r="T16" s="191">
        <f>+T7-T12+T14</f>
        <v>418.70000000000027</v>
      </c>
      <c r="U16" s="186">
        <f>+Q16+R16+S16+T16</f>
        <v>1071.3936395133956</v>
      </c>
      <c r="V16" s="487" t="s">
        <v>97</v>
      </c>
    </row>
    <row r="17" spans="1:22" ht="3.75" customHeight="1">
      <c r="A17" s="168"/>
      <c r="B17" s="174"/>
      <c r="C17" s="174"/>
      <c r="D17" s="174"/>
      <c r="E17" s="174"/>
      <c r="F17" s="186"/>
      <c r="G17" s="186"/>
      <c r="H17" s="174"/>
      <c r="I17" s="174"/>
      <c r="J17" s="174"/>
      <c r="K17" s="186"/>
      <c r="L17" s="186"/>
      <c r="M17" s="174"/>
      <c r="N17" s="174"/>
      <c r="O17" s="174"/>
      <c r="P17" s="186"/>
      <c r="Q17" s="186"/>
      <c r="R17" s="174"/>
      <c r="S17" s="191"/>
      <c r="T17" s="191"/>
      <c r="U17" s="186"/>
      <c r="V17" s="487" t="s">
        <v>97</v>
      </c>
    </row>
    <row r="18" spans="1:22">
      <c r="A18" s="175" t="s">
        <v>170</v>
      </c>
      <c r="B18" s="255">
        <f t="shared" ref="B18:R18" si="10">+B42+B66+B90+B113+B136</f>
        <v>14.99998605477359</v>
      </c>
      <c r="C18" s="255">
        <f t="shared" si="10"/>
        <v>9.2638227898907353</v>
      </c>
      <c r="D18" s="255">
        <f t="shared" si="10"/>
        <v>43.300289809219706</v>
      </c>
      <c r="E18" s="255">
        <f t="shared" si="10"/>
        <v>34.149629718176584</v>
      </c>
      <c r="F18" s="256">
        <f t="shared" si="10"/>
        <v>101.71372837206069</v>
      </c>
      <c r="G18" s="256">
        <f t="shared" si="10"/>
        <v>15.45074105646394</v>
      </c>
      <c r="H18" s="255">
        <f t="shared" si="10"/>
        <v>6.6596929971640471</v>
      </c>
      <c r="I18" s="255">
        <f t="shared" si="10"/>
        <v>17.224439117650391</v>
      </c>
      <c r="J18" s="255">
        <f t="shared" si="10"/>
        <v>123.43141061384156</v>
      </c>
      <c r="K18" s="256">
        <f t="shared" si="10"/>
        <v>162.8491185552333</v>
      </c>
      <c r="L18" s="256">
        <f t="shared" si="10"/>
        <v>57.280809900477657</v>
      </c>
      <c r="M18" s="255">
        <f t="shared" si="10"/>
        <v>34.909731009750388</v>
      </c>
      <c r="N18" s="255">
        <f t="shared" si="10"/>
        <v>24.671705796242506</v>
      </c>
      <c r="O18" s="255">
        <f t="shared" si="10"/>
        <v>80.448645752735175</v>
      </c>
      <c r="P18" s="256">
        <f t="shared" si="10"/>
        <v>197.35077715756029</v>
      </c>
      <c r="Q18" s="256">
        <f t="shared" si="10"/>
        <v>15.045375411367878</v>
      </c>
      <c r="R18" s="255">
        <f t="shared" si="10"/>
        <v>75.383699831370024</v>
      </c>
      <c r="S18" s="191">
        <v>67.8</v>
      </c>
      <c r="T18" s="191">
        <v>52</v>
      </c>
      <c r="U18" s="256">
        <f>+Q18+R18+S18+T18</f>
        <v>210.22907524273791</v>
      </c>
      <c r="V18" s="487" t="s">
        <v>97</v>
      </c>
    </row>
    <row r="19" spans="1:22">
      <c r="A19" s="175" t="s">
        <v>160</v>
      </c>
      <c r="B19" s="255">
        <f t="shared" ref="B19:R19" si="11">+B43+B67+B91+B114+B137</f>
        <v>4.8103899693497407</v>
      </c>
      <c r="C19" s="255">
        <f t="shared" si="11"/>
        <v>6.3548906420842304</v>
      </c>
      <c r="D19" s="255">
        <f t="shared" si="11"/>
        <v>-0.11298863142817295</v>
      </c>
      <c r="E19" s="255">
        <f t="shared" si="11"/>
        <v>1.1305789277691631</v>
      </c>
      <c r="F19" s="256">
        <f t="shared" si="11"/>
        <v>12.182870436402894</v>
      </c>
      <c r="G19" s="256">
        <f t="shared" si="11"/>
        <v>1.0900943050339729</v>
      </c>
      <c r="H19" s="255">
        <f t="shared" si="11"/>
        <v>-1.0771420979184101</v>
      </c>
      <c r="I19" s="255">
        <f t="shared" si="11"/>
        <v>-4.9448612584102438</v>
      </c>
      <c r="J19" s="255">
        <f t="shared" si="11"/>
        <v>1.1184172766735674</v>
      </c>
      <c r="K19" s="256">
        <f t="shared" si="11"/>
        <v>-3.7659873388141909</v>
      </c>
      <c r="L19" s="256">
        <f t="shared" si="11"/>
        <v>3.208823685253047</v>
      </c>
      <c r="M19" s="255">
        <f t="shared" si="11"/>
        <v>3.8780407713921132</v>
      </c>
      <c r="N19" s="255">
        <f t="shared" si="11"/>
        <v>1.3554001791660499</v>
      </c>
      <c r="O19" s="255">
        <f t="shared" si="11"/>
        <v>-3.7759082774786004</v>
      </c>
      <c r="P19" s="256">
        <f t="shared" si="11"/>
        <v>4.6663563583326102</v>
      </c>
      <c r="Q19" s="256">
        <f t="shared" si="11"/>
        <v>4.1153238803966348</v>
      </c>
      <c r="R19" s="255">
        <f t="shared" si="11"/>
        <v>3.16294616501267</v>
      </c>
      <c r="S19" s="191">
        <v>1.8</v>
      </c>
      <c r="T19" s="191">
        <v>0.3</v>
      </c>
      <c r="U19" s="256">
        <f>+Q19+R19+S19+T19</f>
        <v>9.3782700454093053</v>
      </c>
      <c r="V19" s="487" t="s">
        <v>97</v>
      </c>
    </row>
    <row r="20" spans="1:22">
      <c r="A20" s="168" t="s">
        <v>180</v>
      </c>
      <c r="B20" s="255">
        <f t="shared" ref="B20:R20" si="12">+B44+B68+B92+B115+B138</f>
        <v>0.27867418616063699</v>
      </c>
      <c r="C20" s="255">
        <f t="shared" si="12"/>
        <v>24.735284804721537</v>
      </c>
      <c r="D20" s="255">
        <f t="shared" si="12"/>
        <v>2.5930290523847321</v>
      </c>
      <c r="E20" s="255">
        <f t="shared" si="12"/>
        <v>1.3928780351938741</v>
      </c>
      <c r="F20" s="256">
        <f t="shared" si="12"/>
        <v>28.999866078460837</v>
      </c>
      <c r="G20" s="256">
        <f t="shared" si="12"/>
        <v>0.20058908532484687</v>
      </c>
      <c r="H20" s="255">
        <f t="shared" si="12"/>
        <v>8.1248322190231068</v>
      </c>
      <c r="I20" s="255">
        <f t="shared" si="12"/>
        <v>0.86784227841676798</v>
      </c>
      <c r="J20" s="255">
        <f t="shared" si="12"/>
        <v>2.5513091901333769</v>
      </c>
      <c r="K20" s="256">
        <f t="shared" si="12"/>
        <v>11.744572772898099</v>
      </c>
      <c r="L20" s="256">
        <f t="shared" si="12"/>
        <v>2.4725404533606907</v>
      </c>
      <c r="M20" s="255">
        <f t="shared" si="12"/>
        <v>1.7616488086240365</v>
      </c>
      <c r="N20" s="255">
        <f t="shared" si="12"/>
        <v>6.6446513657429307</v>
      </c>
      <c r="O20" s="255">
        <f t="shared" si="12"/>
        <v>1.1510294141817783</v>
      </c>
      <c r="P20" s="256">
        <f t="shared" si="12"/>
        <v>12.090591026012586</v>
      </c>
      <c r="Q20" s="256">
        <f t="shared" si="12"/>
        <v>1.9059728673317242</v>
      </c>
      <c r="R20" s="255">
        <f t="shared" si="12"/>
        <v>1.2356726279723498</v>
      </c>
      <c r="S20" s="191">
        <v>1</v>
      </c>
      <c r="T20" s="191">
        <v>2.2999999999999998</v>
      </c>
      <c r="U20" s="256">
        <f>+Q20+R20+S20+T20</f>
        <v>6.4416454953040736</v>
      </c>
      <c r="V20" s="487" t="s">
        <v>97</v>
      </c>
    </row>
    <row r="21" spans="1:22" ht="3.75" customHeight="1">
      <c r="A21" s="168"/>
      <c r="B21" s="174"/>
      <c r="C21" s="174"/>
      <c r="D21" s="174"/>
      <c r="E21" s="174"/>
      <c r="F21" s="186"/>
      <c r="G21" s="186"/>
      <c r="H21" s="174"/>
      <c r="I21" s="174"/>
      <c r="J21" s="174"/>
      <c r="K21" s="186"/>
      <c r="L21" s="186"/>
      <c r="M21" s="174"/>
      <c r="N21" s="174"/>
      <c r="O21" s="174"/>
      <c r="P21" s="186"/>
      <c r="Q21" s="186"/>
      <c r="R21" s="174"/>
      <c r="S21" s="191"/>
      <c r="T21" s="191"/>
      <c r="U21" s="186"/>
      <c r="V21" s="487" t="s">
        <v>97</v>
      </c>
    </row>
    <row r="22" spans="1:22" s="19" customFormat="1">
      <c r="A22" s="363" t="s">
        <v>178</v>
      </c>
      <c r="B22" s="164">
        <f t="shared" ref="B22:R22" si="13">+B46+B70+B94+B117+B140</f>
        <v>65.202766461531553</v>
      </c>
      <c r="C22" s="164">
        <f t="shared" si="13"/>
        <v>63.295314906092429</v>
      </c>
      <c r="D22" s="164">
        <f t="shared" si="13"/>
        <v>67.15928142681399</v>
      </c>
      <c r="E22" s="164">
        <f t="shared" si="13"/>
        <v>69.44418221129142</v>
      </c>
      <c r="F22" s="187">
        <f t="shared" si="13"/>
        <v>265.10154500572975</v>
      </c>
      <c r="G22" s="187">
        <f t="shared" si="13"/>
        <v>69.845710618401839</v>
      </c>
      <c r="H22" s="164">
        <f t="shared" si="13"/>
        <v>70.605130248105297</v>
      </c>
      <c r="I22" s="164">
        <f t="shared" si="13"/>
        <v>75.047208443487762</v>
      </c>
      <c r="J22" s="164">
        <f t="shared" si="13"/>
        <v>98.598304808609186</v>
      </c>
      <c r="K22" s="187">
        <f t="shared" si="13"/>
        <v>314.09635411860449</v>
      </c>
      <c r="L22" s="187">
        <f t="shared" si="13"/>
        <v>86.993847200234626</v>
      </c>
      <c r="M22" s="164">
        <f t="shared" si="13"/>
        <v>90.267776900454535</v>
      </c>
      <c r="N22" s="164">
        <f t="shared" si="13"/>
        <v>92.725636387581332</v>
      </c>
      <c r="O22" s="164">
        <f t="shared" si="13"/>
        <v>96.939862713217792</v>
      </c>
      <c r="P22" s="187">
        <f t="shared" si="13"/>
        <v>366.92712320148814</v>
      </c>
      <c r="Q22" s="187">
        <f t="shared" si="13"/>
        <v>94.03677275944132</v>
      </c>
      <c r="R22" s="164">
        <f t="shared" si="13"/>
        <v>100.38673712961237</v>
      </c>
      <c r="S22" s="250">
        <f>+S11</f>
        <v>102.6</v>
      </c>
      <c r="T22" s="250">
        <f>+T11</f>
        <v>109.1</v>
      </c>
      <c r="U22" s="187">
        <f t="shared" ref="U22" si="14">+U46+U70+U94+U117+U140</f>
        <v>406.12350988905371</v>
      </c>
      <c r="V22" s="488" t="s">
        <v>97</v>
      </c>
    </row>
    <row r="23" spans="1:22">
      <c r="A23" s="364" t="s">
        <v>18</v>
      </c>
      <c r="B23" s="259">
        <f t="shared" ref="B23:R23" si="15">+B47+B71+B95+B118+B141</f>
        <v>197.2158198852936</v>
      </c>
      <c r="C23" s="259">
        <f t="shared" si="15"/>
        <v>260.18389808432528</v>
      </c>
      <c r="D23" s="259">
        <f t="shared" si="15"/>
        <v>292.89430960885124</v>
      </c>
      <c r="E23" s="259">
        <f t="shared" si="15"/>
        <v>391.95781823088794</v>
      </c>
      <c r="F23" s="260">
        <f t="shared" si="15"/>
        <v>1142.2518453379939</v>
      </c>
      <c r="G23" s="260">
        <f t="shared" si="15"/>
        <v>246.29182719980199</v>
      </c>
      <c r="H23" s="259">
        <f t="shared" si="15"/>
        <v>296.81734106318231</v>
      </c>
      <c r="I23" s="259">
        <f t="shared" si="15"/>
        <v>326.55985160023232</v>
      </c>
      <c r="J23" s="259">
        <f t="shared" si="15"/>
        <v>427.5779217842138</v>
      </c>
      <c r="K23" s="260">
        <f t="shared" si="15"/>
        <v>1297.377280853357</v>
      </c>
      <c r="L23" s="260">
        <f t="shared" si="15"/>
        <v>252.59075468934068</v>
      </c>
      <c r="M23" s="259">
        <f t="shared" si="15"/>
        <v>309.8878251044535</v>
      </c>
      <c r="N23" s="259">
        <f t="shared" si="15"/>
        <v>284.59961058612356</v>
      </c>
      <c r="O23" s="259">
        <f t="shared" si="15"/>
        <v>525.28251050700817</v>
      </c>
      <c r="P23" s="260">
        <f t="shared" si="15"/>
        <v>1372.3398646011849</v>
      </c>
      <c r="Q23" s="260">
        <f t="shared" si="15"/>
        <v>306.48351099713437</v>
      </c>
      <c r="R23" s="259">
        <f t="shared" si="15"/>
        <v>399.89933819815781</v>
      </c>
      <c r="S23" s="259">
        <f>+S16+S18+S19-S20+S22</f>
        <v>406.49999999999989</v>
      </c>
      <c r="T23" s="259">
        <f>+T16+T18+T19-T20+T22</f>
        <v>577.8000000000003</v>
      </c>
      <c r="U23" s="260">
        <f t="shared" ref="U23" si="16">+U47+U71+U95+U118+U141</f>
        <v>1690.6827723239619</v>
      </c>
      <c r="V23" s="487" t="s">
        <v>97</v>
      </c>
    </row>
    <row r="24" spans="1:22">
      <c r="A24" s="168" t="s">
        <v>224</v>
      </c>
      <c r="B24" s="174">
        <f t="shared" ref="B24:R24" si="17">+B48+B72+B96+B119+B142</f>
        <v>1.5629999999999988</v>
      </c>
      <c r="C24" s="174">
        <f t="shared" si="17"/>
        <v>2.5670000000001068</v>
      </c>
      <c r="D24" s="174">
        <f t="shared" si="17"/>
        <v>-0.70400000000009655</v>
      </c>
      <c r="E24" s="174">
        <f t="shared" si="17"/>
        <v>20.446999999999811</v>
      </c>
      <c r="F24" s="186">
        <f t="shared" si="17"/>
        <v>23.872999999999593</v>
      </c>
      <c r="G24" s="186">
        <f t="shared" si="17"/>
        <v>0.4409999999999954</v>
      </c>
      <c r="H24" s="174">
        <f t="shared" si="17"/>
        <v>6.9201248654706333</v>
      </c>
      <c r="I24" s="174">
        <f t="shared" si="17"/>
        <v>18.053940210402082</v>
      </c>
      <c r="J24" s="174">
        <f t="shared" si="17"/>
        <v>89.974740013354733</v>
      </c>
      <c r="K24" s="186">
        <f t="shared" si="17"/>
        <v>115.3898050892269</v>
      </c>
      <c r="L24" s="186">
        <f t="shared" si="17"/>
        <v>30.065386786386291</v>
      </c>
      <c r="M24" s="174">
        <f t="shared" si="17"/>
        <v>50.555656364247199</v>
      </c>
      <c r="N24" s="174">
        <f t="shared" si="17"/>
        <v>64.829307734396338</v>
      </c>
      <c r="O24" s="174">
        <f t="shared" si="17"/>
        <v>43.191001735419661</v>
      </c>
      <c r="P24" s="186">
        <f t="shared" si="17"/>
        <v>188.64135262044789</v>
      </c>
      <c r="Q24" s="186">
        <f t="shared" si="17"/>
        <v>-3.2980224268518086</v>
      </c>
      <c r="R24" s="174">
        <f t="shared" si="17"/>
        <v>12.633446337002816</v>
      </c>
      <c r="S24" s="191">
        <v>5.0999999999999996</v>
      </c>
      <c r="T24" s="191">
        <v>4.4000000000000004</v>
      </c>
      <c r="U24" s="186">
        <f t="shared" ref="U24" si="18">+U48+U72+U96+U119+U142</f>
        <v>18.835423910151007</v>
      </c>
      <c r="V24" s="487" t="s">
        <v>97</v>
      </c>
    </row>
    <row r="25" spans="1:22">
      <c r="A25" s="364" t="s">
        <v>17</v>
      </c>
      <c r="B25" s="259">
        <f t="shared" ref="B25:R25" si="19">+B49+B73+B97+B120+B143</f>
        <v>198.77881988529361</v>
      </c>
      <c r="C25" s="259">
        <f t="shared" si="19"/>
        <v>262.7508980843254</v>
      </c>
      <c r="D25" s="259">
        <f t="shared" si="19"/>
        <v>292.19030960885118</v>
      </c>
      <c r="E25" s="259">
        <f t="shared" si="19"/>
        <v>412.40481823088771</v>
      </c>
      <c r="F25" s="260">
        <f t="shared" si="19"/>
        <v>1166.1248453379935</v>
      </c>
      <c r="G25" s="260">
        <f t="shared" si="19"/>
        <v>246.73282719980199</v>
      </c>
      <c r="H25" s="259">
        <f t="shared" si="19"/>
        <v>303.73746592865297</v>
      </c>
      <c r="I25" s="259">
        <f t="shared" si="19"/>
        <v>344.61379181063444</v>
      </c>
      <c r="J25" s="259">
        <f t="shared" si="19"/>
        <v>517.55266179756848</v>
      </c>
      <c r="K25" s="260">
        <f t="shared" si="19"/>
        <v>1412.7670859425837</v>
      </c>
      <c r="L25" s="260">
        <f t="shared" si="19"/>
        <v>282.656141475727</v>
      </c>
      <c r="M25" s="259">
        <f t="shared" si="19"/>
        <v>360.44348146870072</v>
      </c>
      <c r="N25" s="259">
        <f t="shared" si="19"/>
        <v>349.42891832051993</v>
      </c>
      <c r="O25" s="259">
        <f t="shared" si="19"/>
        <v>568.47351224242777</v>
      </c>
      <c r="P25" s="260">
        <f t="shared" si="19"/>
        <v>1560.981217221633</v>
      </c>
      <c r="Q25" s="260">
        <f t="shared" si="19"/>
        <v>303.18548857028259</v>
      </c>
      <c r="R25" s="259">
        <f t="shared" si="19"/>
        <v>412.5327845351606</v>
      </c>
      <c r="S25" s="261">
        <f>+S23+S24</f>
        <v>411.59999999999991</v>
      </c>
      <c r="T25" s="261">
        <f>+T23+T24</f>
        <v>582.20000000000027</v>
      </c>
      <c r="U25" s="260">
        <f t="shared" ref="U25" si="20">+U49+U73+U97+U120+U143</f>
        <v>1709.5181962341128</v>
      </c>
      <c r="V25" s="487" t="s">
        <v>97</v>
      </c>
    </row>
    <row r="26" spans="1:22">
      <c r="A26" s="168" t="s">
        <v>181</v>
      </c>
      <c r="B26" s="262">
        <f t="shared" ref="B26:S26" si="21">+B25/B5</f>
        <v>0.14964355651482697</v>
      </c>
      <c r="C26" s="262">
        <f t="shared" si="21"/>
        <v>0.16507320285096685</v>
      </c>
      <c r="D26" s="262">
        <f t="shared" si="21"/>
        <v>0.17210266542936495</v>
      </c>
      <c r="E26" s="262">
        <f t="shared" si="21"/>
        <v>0.1897464706258743</v>
      </c>
      <c r="F26" s="263">
        <f t="shared" si="21"/>
        <v>0.17170884817593651</v>
      </c>
      <c r="G26" s="263">
        <f t="shared" si="21"/>
        <v>0.16955952587828838</v>
      </c>
      <c r="H26" s="262">
        <f t="shared" si="21"/>
        <v>0.17061762988915932</v>
      </c>
      <c r="I26" s="262">
        <f t="shared" si="21"/>
        <v>0.17766317517767968</v>
      </c>
      <c r="J26" s="262">
        <f t="shared" si="21"/>
        <v>0.20254317072941139</v>
      </c>
      <c r="K26" s="263">
        <f t="shared" si="21"/>
        <v>0.18275621065547801</v>
      </c>
      <c r="L26" s="263">
        <f t="shared" si="21"/>
        <v>0.15392074802352976</v>
      </c>
      <c r="M26" s="262">
        <f t="shared" si="21"/>
        <v>0.17000056262973884</v>
      </c>
      <c r="N26" s="262">
        <f t="shared" si="21"/>
        <v>0.16530005725468122</v>
      </c>
      <c r="O26" s="262">
        <f t="shared" si="21"/>
        <v>0.21409021824549457</v>
      </c>
      <c r="P26" s="263">
        <f t="shared" si="21"/>
        <v>0.17889202542298765</v>
      </c>
      <c r="Q26" s="263">
        <f t="shared" si="21"/>
        <v>0.1578257951654774</v>
      </c>
      <c r="R26" s="262">
        <f t="shared" si="21"/>
        <v>0.1881688221859982</v>
      </c>
      <c r="S26" s="264">
        <f t="shared" si="21"/>
        <v>0.17731443587644849</v>
      </c>
      <c r="T26" s="264">
        <f t="shared" ref="T26:U26" si="22">+T25/T5</f>
        <v>0.19704866987071018</v>
      </c>
      <c r="U26" s="263">
        <f t="shared" si="22"/>
        <v>0.18207150655416696</v>
      </c>
      <c r="V26" s="2" t="s">
        <v>97</v>
      </c>
    </row>
    <row r="27" spans="1:22">
      <c r="A27" s="168"/>
      <c r="B27" s="167"/>
      <c r="C27" s="374"/>
      <c r="D27" s="374"/>
      <c r="E27" s="374"/>
      <c r="F27" s="375"/>
      <c r="G27" s="375"/>
      <c r="H27" s="374"/>
      <c r="I27" s="374"/>
      <c r="J27" s="374"/>
      <c r="K27" s="375"/>
      <c r="L27" s="375"/>
      <c r="M27" s="374"/>
      <c r="N27" s="374"/>
      <c r="O27" s="374"/>
      <c r="P27" s="375"/>
      <c r="Q27" s="375"/>
      <c r="R27" s="167"/>
      <c r="S27" s="76"/>
      <c r="T27" s="76"/>
      <c r="U27" s="375"/>
    </row>
    <row r="28" spans="1:22" s="421" customFormat="1">
      <c r="A28" s="454" t="s">
        <v>227</v>
      </c>
      <c r="B28" s="455"/>
      <c r="C28" s="456"/>
      <c r="D28" s="456"/>
      <c r="E28" s="456"/>
      <c r="F28" s="457"/>
      <c r="G28" s="457"/>
      <c r="H28" s="456"/>
      <c r="I28" s="456"/>
      <c r="J28" s="456"/>
      <c r="K28" s="457"/>
      <c r="L28" s="457"/>
      <c r="M28" s="456"/>
      <c r="N28" s="456"/>
      <c r="O28" s="456"/>
      <c r="P28" s="457"/>
      <c r="Q28" s="457"/>
      <c r="R28" s="458"/>
      <c r="S28" s="417"/>
      <c r="T28" s="417"/>
      <c r="U28" s="457"/>
    </row>
    <row r="29" spans="1:22">
      <c r="A29" s="362" t="s">
        <v>132</v>
      </c>
      <c r="B29" s="269">
        <v>702.76555117550504</v>
      </c>
      <c r="C29" s="269">
        <v>901.09005468848602</v>
      </c>
      <c r="D29" s="269">
        <v>975.161794957952</v>
      </c>
      <c r="E29" s="269">
        <v>1251.45778756411</v>
      </c>
      <c r="F29" s="270">
        <v>3830.4751883860604</v>
      </c>
      <c r="G29" s="270">
        <v>859.03100544850508</v>
      </c>
      <c r="H29" s="269">
        <v>1063.6719547539701</v>
      </c>
      <c r="I29" s="269">
        <v>1135.26985602435</v>
      </c>
      <c r="J29" s="269">
        <v>1447.07622241801</v>
      </c>
      <c r="K29" s="270">
        <v>4505.04903864483</v>
      </c>
      <c r="L29" s="270">
        <v>1071.05758866064</v>
      </c>
      <c r="M29" s="269">
        <v>1250.64190386677</v>
      </c>
      <c r="N29" s="269">
        <v>1240.7530471698999</v>
      </c>
      <c r="O29" s="269">
        <v>1544.51823291397</v>
      </c>
      <c r="P29" s="270">
        <v>5106.9707726112902</v>
      </c>
      <c r="Q29" s="270">
        <v>1130.65315431357</v>
      </c>
      <c r="R29" s="269">
        <v>1264.13195274126</v>
      </c>
      <c r="S29" s="261">
        <v>1355.2</v>
      </c>
      <c r="T29" s="261">
        <v>1689</v>
      </c>
      <c r="U29" s="270">
        <f>+Q29+R29+S29+T29</f>
        <v>5438.9851070548302</v>
      </c>
    </row>
    <row r="30" spans="1:22" s="19" customFormat="1">
      <c r="A30" s="363" t="s">
        <v>49</v>
      </c>
      <c r="B30" s="80">
        <v>318.91539181237499</v>
      </c>
      <c r="C30" s="80">
        <v>334.62954862363392</v>
      </c>
      <c r="D30" s="80">
        <v>350.71319558779783</v>
      </c>
      <c r="E30" s="80">
        <v>369.03312079685998</v>
      </c>
      <c r="F30" s="190">
        <v>1373.2912568206498</v>
      </c>
      <c r="G30" s="190">
        <v>370.11596287450493</v>
      </c>
      <c r="H30" s="80">
        <v>373.0132733519099</v>
      </c>
      <c r="I30" s="80">
        <v>424.32599538001</v>
      </c>
      <c r="J30" s="80">
        <v>529.1715290372199</v>
      </c>
      <c r="K30" s="190">
        <v>1696.6267606436495</v>
      </c>
      <c r="L30" s="190">
        <v>516.81760516439999</v>
      </c>
      <c r="M30" s="80">
        <v>529.74603403986998</v>
      </c>
      <c r="N30" s="80">
        <v>534.57234537015006</v>
      </c>
      <c r="O30" s="80">
        <v>558.35270424201985</v>
      </c>
      <c r="P30" s="190">
        <v>2139.4886888164301</v>
      </c>
      <c r="Q30" s="190">
        <v>561.99320686485999</v>
      </c>
      <c r="R30" s="80">
        <v>592.75386290328015</v>
      </c>
      <c r="S30" s="250">
        <v>614.20000000000005</v>
      </c>
      <c r="T30" s="250">
        <f>2341.3-T29</f>
        <v>652.30000000000018</v>
      </c>
      <c r="U30" s="190">
        <f>+Q30+R30+S30+T30</f>
        <v>2421.2470697681401</v>
      </c>
    </row>
    <row r="31" spans="1:22">
      <c r="A31" s="362" t="s">
        <v>152</v>
      </c>
      <c r="B31" s="269">
        <v>1021.68094298788</v>
      </c>
      <c r="C31" s="269">
        <v>1235.7196033121199</v>
      </c>
      <c r="D31" s="269">
        <v>1325.8749905457498</v>
      </c>
      <c r="E31" s="269">
        <v>1620.49090836097</v>
      </c>
      <c r="F31" s="270">
        <v>5203.7664452067102</v>
      </c>
      <c r="G31" s="270">
        <v>1229.14696832301</v>
      </c>
      <c r="H31" s="269">
        <v>1436.68522810588</v>
      </c>
      <c r="I31" s="269">
        <v>1559.59585140436</v>
      </c>
      <c r="J31" s="269">
        <v>1976.2477514552299</v>
      </c>
      <c r="K31" s="270">
        <v>6201.6757992884795</v>
      </c>
      <c r="L31" s="270">
        <v>1587.87519382504</v>
      </c>
      <c r="M31" s="269">
        <v>1780.38793790664</v>
      </c>
      <c r="N31" s="269">
        <v>1775.32539254005</v>
      </c>
      <c r="O31" s="269">
        <v>2102.8709371559898</v>
      </c>
      <c r="P31" s="270">
        <v>7246.4594614277203</v>
      </c>
      <c r="Q31" s="270">
        <v>1692.64636117843</v>
      </c>
      <c r="R31" s="269">
        <v>1856.8858156445401</v>
      </c>
      <c r="S31" s="261">
        <f>+S29+S30</f>
        <v>1969.4</v>
      </c>
      <c r="T31" s="261">
        <f>+T29+T30</f>
        <v>2341.3000000000002</v>
      </c>
      <c r="U31" s="270">
        <f>+U29+U30</f>
        <v>7860.2321768229704</v>
      </c>
    </row>
    <row r="32" spans="1:22" ht="3.75" customHeight="1">
      <c r="A32" s="175"/>
      <c r="B32" s="84"/>
      <c r="C32" s="84"/>
      <c r="D32" s="84"/>
      <c r="E32" s="84"/>
      <c r="F32" s="189"/>
      <c r="G32" s="189"/>
      <c r="H32" s="84"/>
      <c r="I32" s="84"/>
      <c r="J32" s="84"/>
      <c r="K32" s="189"/>
      <c r="L32" s="189"/>
      <c r="M32" s="84"/>
      <c r="N32" s="84"/>
      <c r="O32" s="84"/>
      <c r="P32" s="189"/>
      <c r="Q32" s="189"/>
      <c r="R32" s="84"/>
      <c r="S32" s="191"/>
      <c r="T32" s="191"/>
      <c r="U32" s="189"/>
    </row>
    <row r="33" spans="1:21">
      <c r="A33" s="175" t="s">
        <v>167</v>
      </c>
      <c r="B33" s="265">
        <v>660.27052423184603</v>
      </c>
      <c r="C33" s="265">
        <v>802.30962427755196</v>
      </c>
      <c r="D33" s="265">
        <v>869.88955525372307</v>
      </c>
      <c r="E33" s="265">
        <v>1065.97257372947</v>
      </c>
      <c r="F33" s="266">
        <v>3398.4422774925902</v>
      </c>
      <c r="G33" s="266">
        <v>788.54164698231898</v>
      </c>
      <c r="H33" s="265">
        <v>926.40432215995702</v>
      </c>
      <c r="I33" s="265">
        <v>1048.93026429971</v>
      </c>
      <c r="J33" s="265">
        <v>1362.9891811043401</v>
      </c>
      <c r="K33" s="266">
        <v>4126.8654145463297</v>
      </c>
      <c r="L33" s="266">
        <v>1103.2632938398799</v>
      </c>
      <c r="M33" s="265">
        <v>1235.1064150355401</v>
      </c>
      <c r="N33" s="265">
        <v>1256.2669990924101</v>
      </c>
      <c r="O33" s="265">
        <v>1455.1373394611101</v>
      </c>
      <c r="P33" s="266">
        <v>5049.7740474289394</v>
      </c>
      <c r="Q33" s="266">
        <v>1164.67774009962</v>
      </c>
      <c r="R33" s="265">
        <v>1288.7974844277501</v>
      </c>
      <c r="S33" s="191">
        <v>1394.7</v>
      </c>
      <c r="T33" s="191">
        <v>1628.7</v>
      </c>
      <c r="U33" s="266">
        <f>+Q33+R33+S33+T33</f>
        <v>5476.8752245273699</v>
      </c>
    </row>
    <row r="34" spans="1:21">
      <c r="A34" s="175" t="s">
        <v>168</v>
      </c>
      <c r="B34" s="265">
        <v>240.665175005208</v>
      </c>
      <c r="C34" s="265">
        <v>270.47967816492996</v>
      </c>
      <c r="D34" s="265">
        <v>281.431353465298</v>
      </c>
      <c r="E34" s="265">
        <v>326.54177882592199</v>
      </c>
      <c r="F34" s="266">
        <v>1119.1179854613599</v>
      </c>
      <c r="G34" s="266">
        <v>275.90563651176296</v>
      </c>
      <c r="H34" s="265">
        <v>302.701259476242</v>
      </c>
      <c r="I34" s="265">
        <v>319.72821946011101</v>
      </c>
      <c r="J34" s="265">
        <v>379.07433242936497</v>
      </c>
      <c r="K34" s="266">
        <v>1277.40944787748</v>
      </c>
      <c r="L34" s="266">
        <v>317.80055532852299</v>
      </c>
      <c r="M34" s="265">
        <v>340.79723874426003</v>
      </c>
      <c r="N34" s="265">
        <v>335.84021494022301</v>
      </c>
      <c r="O34" s="265">
        <v>363.34316362363398</v>
      </c>
      <c r="P34" s="266">
        <v>1357.7811726366401</v>
      </c>
      <c r="Q34" s="266">
        <v>322.31376273535597</v>
      </c>
      <c r="R34" s="265">
        <v>350.97487866445499</v>
      </c>
      <c r="S34" s="191">
        <v>340.2</v>
      </c>
      <c r="T34" s="191">
        <v>392</v>
      </c>
      <c r="U34" s="266">
        <f>+Q34+R34+S34+T34</f>
        <v>1405.4886413998111</v>
      </c>
    </row>
    <row r="35" spans="1:21" s="19" customFormat="1">
      <c r="A35" s="363" t="s">
        <v>169</v>
      </c>
      <c r="B35" s="267">
        <v>34.157316741051503</v>
      </c>
      <c r="C35" s="267">
        <v>35.187288728820896</v>
      </c>
      <c r="D35" s="267">
        <v>38.452083222587902</v>
      </c>
      <c r="E35" s="267">
        <v>41.418165215436304</v>
      </c>
      <c r="F35" s="268">
        <v>149.21485390789701</v>
      </c>
      <c r="G35" s="268">
        <v>42.969966694060403</v>
      </c>
      <c r="H35" s="267">
        <v>44.611224692077698</v>
      </c>
      <c r="I35" s="267">
        <v>47.227232851670102</v>
      </c>
      <c r="J35" s="267">
        <v>64.177344189401495</v>
      </c>
      <c r="K35" s="268">
        <v>198.98576842720999</v>
      </c>
      <c r="L35" s="268">
        <v>60.602623655750001</v>
      </c>
      <c r="M35" s="267">
        <v>63.199967985429801</v>
      </c>
      <c r="N35" s="267">
        <v>62.548495595262295</v>
      </c>
      <c r="O35" s="267">
        <v>67.767860732385103</v>
      </c>
      <c r="P35" s="268">
        <v>254.118947968827</v>
      </c>
      <c r="Q35" s="268">
        <v>68.567711733318006</v>
      </c>
      <c r="R35" s="267">
        <v>71.7250722384113</v>
      </c>
      <c r="S35" s="250">
        <v>73.8</v>
      </c>
      <c r="T35" s="250">
        <v>75.3</v>
      </c>
      <c r="U35" s="268">
        <f>+Q35+R35+S35+T35</f>
        <v>289.39278397172933</v>
      </c>
    </row>
    <row r="36" spans="1:21" s="13" customFormat="1">
      <c r="A36" s="175" t="s">
        <v>6</v>
      </c>
      <c r="B36" s="84">
        <v>935.09301597810554</v>
      </c>
      <c r="C36" s="84">
        <v>1107.976591171303</v>
      </c>
      <c r="D36" s="84">
        <v>1189.772991941609</v>
      </c>
      <c r="E36" s="84">
        <v>1433.9325177708283</v>
      </c>
      <c r="F36" s="189">
        <v>4666.775116861847</v>
      </c>
      <c r="G36" s="189">
        <v>1107.4172501881424</v>
      </c>
      <c r="H36" s="84">
        <v>1273.7168063282768</v>
      </c>
      <c r="I36" s="84">
        <v>1415.885716611491</v>
      </c>
      <c r="J36" s="84">
        <v>1806.2408577231067</v>
      </c>
      <c r="K36" s="189">
        <v>5603.2606308510203</v>
      </c>
      <c r="L36" s="189">
        <v>1481.6664728241528</v>
      </c>
      <c r="M36" s="84">
        <v>1639.1036217652299</v>
      </c>
      <c r="N36" s="84">
        <v>1654.6557096278952</v>
      </c>
      <c r="O36" s="84">
        <v>1886.2483638171291</v>
      </c>
      <c r="P36" s="189">
        <v>6661.6741680344066</v>
      </c>
      <c r="Q36" s="189">
        <v>1555.559214568294</v>
      </c>
      <c r="R36" s="84">
        <v>1711.4974353306163</v>
      </c>
      <c r="S36" s="193">
        <f>+S33+S34+S35</f>
        <v>1808.7</v>
      </c>
      <c r="T36" s="193">
        <f>+T33+T34+T35</f>
        <v>2096</v>
      </c>
      <c r="U36" s="189">
        <f>+U33+U34+U35</f>
        <v>7171.7566498989099</v>
      </c>
    </row>
    <row r="37" spans="1:21" ht="3.75" customHeight="1">
      <c r="A37" s="175"/>
      <c r="B37" s="84"/>
      <c r="C37" s="84"/>
      <c r="D37" s="84"/>
      <c r="E37" s="84"/>
      <c r="F37" s="189"/>
      <c r="G37" s="189"/>
      <c r="H37" s="84"/>
      <c r="I37" s="84"/>
      <c r="J37" s="84"/>
      <c r="K37" s="189"/>
      <c r="L37" s="189"/>
      <c r="M37" s="84"/>
      <c r="N37" s="84"/>
      <c r="O37" s="84"/>
      <c r="P37" s="189"/>
      <c r="Q37" s="189"/>
      <c r="R37" s="84"/>
      <c r="S37" s="191"/>
      <c r="T37" s="191"/>
      <c r="U37" s="189"/>
    </row>
    <row r="38" spans="1:21" hidden="1" outlineLevel="1">
      <c r="A38" s="175" t="s">
        <v>7</v>
      </c>
      <c r="B38" s="265">
        <v>0</v>
      </c>
      <c r="C38" s="265">
        <v>0</v>
      </c>
      <c r="D38" s="265">
        <v>0</v>
      </c>
      <c r="E38" s="265">
        <v>0</v>
      </c>
      <c r="F38" s="266">
        <f>SUM(B38:E38)</f>
        <v>0</v>
      </c>
      <c r="G38" s="266">
        <v>0</v>
      </c>
      <c r="H38" s="265">
        <v>0</v>
      </c>
      <c r="I38" s="265">
        <v>0</v>
      </c>
      <c r="J38" s="265">
        <v>0</v>
      </c>
      <c r="K38" s="266">
        <f>SUM(G38:J38)</f>
        <v>0</v>
      </c>
      <c r="L38" s="266">
        <v>0</v>
      </c>
      <c r="M38" s="265">
        <v>0</v>
      </c>
      <c r="N38" s="265">
        <v>0</v>
      </c>
      <c r="O38" s="265">
        <v>0</v>
      </c>
      <c r="P38" s="266">
        <f>SUM(L38:O38)</f>
        <v>0</v>
      </c>
      <c r="Q38" s="266">
        <v>0</v>
      </c>
      <c r="R38" s="265">
        <v>0</v>
      </c>
      <c r="S38" s="191"/>
      <c r="T38" s="191"/>
      <c r="U38" s="266">
        <f>SUM(Q38:T38)</f>
        <v>0</v>
      </c>
    </row>
    <row r="39" spans="1:21" ht="3" hidden="1" customHeight="1" outlineLevel="1">
      <c r="A39" s="175"/>
      <c r="B39" s="84"/>
      <c r="C39" s="84"/>
      <c r="D39" s="84"/>
      <c r="E39" s="84"/>
      <c r="F39" s="189"/>
      <c r="G39" s="189"/>
      <c r="H39" s="84"/>
      <c r="I39" s="84"/>
      <c r="J39" s="84"/>
      <c r="K39" s="189"/>
      <c r="L39" s="189"/>
      <c r="M39" s="84"/>
      <c r="N39" s="84"/>
      <c r="O39" s="84"/>
      <c r="P39" s="189"/>
      <c r="Q39" s="189"/>
      <c r="R39" s="84"/>
      <c r="S39" s="191"/>
      <c r="T39" s="191"/>
      <c r="U39" s="189"/>
    </row>
    <row r="40" spans="1:21" collapsed="1">
      <c r="A40" s="175" t="s">
        <v>8</v>
      </c>
      <c r="B40" s="84">
        <f>+B31-B36+B38</f>
        <v>86.587927009774489</v>
      </c>
      <c r="C40" s="84">
        <f>+C31-C36+C38</f>
        <v>127.74301214081697</v>
      </c>
      <c r="D40" s="84">
        <f>+D31-D36+D38</f>
        <v>136.10199860414082</v>
      </c>
      <c r="E40" s="84">
        <f>+E31-E36+E38</f>
        <v>186.5583905901417</v>
      </c>
      <c r="F40" s="189">
        <f>SUM(B40:E40)</f>
        <v>536.99132834487398</v>
      </c>
      <c r="G40" s="189">
        <f>+G31-G36+G38</f>
        <v>121.72971813486765</v>
      </c>
      <c r="H40" s="84">
        <f>+H31-H36+H38</f>
        <v>162.96842177760323</v>
      </c>
      <c r="I40" s="84">
        <f>+I31-I36+I38</f>
        <v>143.71013479286898</v>
      </c>
      <c r="J40" s="84">
        <f>+J31-J36+J38</f>
        <v>170.00689373212322</v>
      </c>
      <c r="K40" s="189">
        <f>SUM(G40:J40)</f>
        <v>598.41516843746308</v>
      </c>
      <c r="L40" s="189">
        <f>+L31-L36+L38</f>
        <v>106.20872100088718</v>
      </c>
      <c r="M40" s="84">
        <f>+M31-M36+M38</f>
        <v>141.28431614141005</v>
      </c>
      <c r="N40" s="84">
        <f>+N31-N36+N38</f>
        <v>120.66968291215471</v>
      </c>
      <c r="O40" s="84">
        <f>+O31-O36+O38</f>
        <v>216.62257333886078</v>
      </c>
      <c r="P40" s="189">
        <f>SUM(L40:O40)</f>
        <v>584.78529339331271</v>
      </c>
      <c r="Q40" s="189">
        <f>+Q31-Q36+Q38</f>
        <v>137.08714661013596</v>
      </c>
      <c r="R40" s="84">
        <f>+R31-R36+R38</f>
        <v>145.38838031392379</v>
      </c>
      <c r="S40" s="191">
        <f>+S31-S36</f>
        <v>160.70000000000005</v>
      </c>
      <c r="T40" s="191">
        <f>+T31-T36</f>
        <v>245.30000000000018</v>
      </c>
      <c r="U40" s="189">
        <f>SUM(Q40:T40)</f>
        <v>688.47552692405998</v>
      </c>
    </row>
    <row r="41" spans="1:21" ht="2.25" customHeight="1">
      <c r="A41" s="168"/>
      <c r="B41" s="84"/>
      <c r="C41" s="84"/>
      <c r="D41" s="84"/>
      <c r="E41" s="84"/>
      <c r="F41" s="189"/>
      <c r="G41" s="189"/>
      <c r="H41" s="84"/>
      <c r="I41" s="84"/>
      <c r="J41" s="84"/>
      <c r="K41" s="189"/>
      <c r="L41" s="189"/>
      <c r="M41" s="84"/>
      <c r="N41" s="84"/>
      <c r="O41" s="84"/>
      <c r="P41" s="189"/>
      <c r="Q41" s="189"/>
      <c r="R41" s="84"/>
      <c r="S41" s="191"/>
      <c r="T41" s="191"/>
      <c r="U41" s="189"/>
    </row>
    <row r="42" spans="1:21">
      <c r="A42" s="175" t="s">
        <v>170</v>
      </c>
      <c r="B42" s="265">
        <v>4.17934429750576</v>
      </c>
      <c r="C42" s="265">
        <v>5.7265185909902501</v>
      </c>
      <c r="D42" s="265">
        <v>12.0195431393918</v>
      </c>
      <c r="E42" s="265">
        <v>5.75317461059932</v>
      </c>
      <c r="F42" s="266">
        <v>27.678580638487201</v>
      </c>
      <c r="G42" s="266">
        <v>4.0588931099999996</v>
      </c>
      <c r="H42" s="265">
        <v>5.5586191600000001</v>
      </c>
      <c r="I42" s="265">
        <v>5.8756612300000004</v>
      </c>
      <c r="J42" s="265">
        <v>2.9208563599999997</v>
      </c>
      <c r="K42" s="266">
        <v>18.414029859999999</v>
      </c>
      <c r="L42" s="266">
        <v>6.76410088</v>
      </c>
      <c r="M42" s="265">
        <v>4.0592983799999995</v>
      </c>
      <c r="N42" s="265">
        <v>3.05653935</v>
      </c>
      <c r="O42" s="265">
        <v>4.0122729499999998</v>
      </c>
      <c r="P42" s="266">
        <v>17.89221156</v>
      </c>
      <c r="Q42" s="266">
        <v>4.63984504</v>
      </c>
      <c r="R42" s="265">
        <v>5.2219329500000002</v>
      </c>
      <c r="S42" s="191">
        <v>3.3</v>
      </c>
      <c r="T42" s="191">
        <v>5.7</v>
      </c>
      <c r="U42" s="266">
        <f>+Q42+R42+S42+T42</f>
        <v>18.86177799</v>
      </c>
    </row>
    <row r="43" spans="1:21">
      <c r="A43" s="175" t="s">
        <v>160</v>
      </c>
      <c r="B43" s="265">
        <v>0.8369955</v>
      </c>
      <c r="C43" s="265">
        <v>0.74716917000000005</v>
      </c>
      <c r="D43" s="265">
        <v>0.90414555000000008</v>
      </c>
      <c r="E43" s="265">
        <v>1.1591832200000001</v>
      </c>
      <c r="F43" s="266">
        <v>3.6474934399999999</v>
      </c>
      <c r="G43" s="266">
        <v>0.92500971999999992</v>
      </c>
      <c r="H43" s="265">
        <v>0.34431744999899999</v>
      </c>
      <c r="I43" s="265">
        <v>0.190624797995983</v>
      </c>
      <c r="J43" s="265">
        <v>0.152598458649293</v>
      </c>
      <c r="K43" s="266">
        <v>1.6125504266442801</v>
      </c>
      <c r="L43" s="266">
        <v>-0.41051992474695304</v>
      </c>
      <c r="M43" s="265">
        <v>-7.064022860788699E-2</v>
      </c>
      <c r="N43" s="265">
        <v>0.27610322999999998</v>
      </c>
      <c r="O43" s="265">
        <v>0.11514424000000001</v>
      </c>
      <c r="P43" s="266">
        <v>-8.99126833548404E-2</v>
      </c>
      <c r="Q43" s="266">
        <v>0.426108027449005</v>
      </c>
      <c r="R43" s="265">
        <v>0.61364238999999998</v>
      </c>
      <c r="S43" s="191">
        <v>0.5</v>
      </c>
      <c r="T43" s="191">
        <v>-1.5</v>
      </c>
      <c r="U43" s="266">
        <v>0</v>
      </c>
    </row>
    <row r="44" spans="1:21">
      <c r="A44" s="168" t="s">
        <v>180</v>
      </c>
      <c r="B44" s="265">
        <v>0</v>
      </c>
      <c r="C44" s="265">
        <v>0</v>
      </c>
      <c r="D44" s="265">
        <v>0</v>
      </c>
      <c r="E44" s="265">
        <v>0</v>
      </c>
      <c r="F44" s="266">
        <v>0</v>
      </c>
      <c r="G44" s="266">
        <v>0</v>
      </c>
      <c r="H44" s="265">
        <v>0</v>
      </c>
      <c r="I44" s="265">
        <v>0</v>
      </c>
      <c r="J44" s="265">
        <v>0</v>
      </c>
      <c r="K44" s="266">
        <v>0</v>
      </c>
      <c r="L44" s="266">
        <v>0</v>
      </c>
      <c r="M44" s="265">
        <v>0</v>
      </c>
      <c r="N44" s="265">
        <v>0</v>
      </c>
      <c r="O44" s="265">
        <v>0</v>
      </c>
      <c r="P44" s="266">
        <v>0</v>
      </c>
      <c r="Q44" s="266">
        <v>0</v>
      </c>
      <c r="R44" s="265">
        <v>0</v>
      </c>
      <c r="S44" s="191">
        <v>0</v>
      </c>
      <c r="T44" s="191">
        <v>0</v>
      </c>
      <c r="U44" s="266">
        <v>0</v>
      </c>
    </row>
    <row r="45" spans="1:21" ht="4.5" customHeight="1">
      <c r="A45" s="168"/>
      <c r="B45" s="84"/>
      <c r="C45" s="84"/>
      <c r="D45" s="84"/>
      <c r="E45" s="84"/>
      <c r="F45" s="189"/>
      <c r="G45" s="189"/>
      <c r="H45" s="84"/>
      <c r="I45" s="84"/>
      <c r="J45" s="84"/>
      <c r="K45" s="189"/>
      <c r="L45" s="189"/>
      <c r="M45" s="84"/>
      <c r="N45" s="84"/>
      <c r="O45" s="84"/>
      <c r="P45" s="189"/>
      <c r="Q45" s="189"/>
      <c r="R45" s="84"/>
      <c r="S45" s="191"/>
      <c r="T45" s="191"/>
      <c r="U45" s="189"/>
    </row>
    <row r="46" spans="1:21" s="19" customFormat="1">
      <c r="A46" s="363" t="s">
        <v>178</v>
      </c>
      <c r="B46" s="80">
        <v>34.157316741051503</v>
      </c>
      <c r="C46" s="80">
        <v>35.187288728820896</v>
      </c>
      <c r="D46" s="80">
        <v>38.452083222587902</v>
      </c>
      <c r="E46" s="80">
        <v>41.418165215436304</v>
      </c>
      <c r="F46" s="190">
        <v>149.21485390789701</v>
      </c>
      <c r="G46" s="190">
        <v>42.969966694060403</v>
      </c>
      <c r="H46" s="80">
        <v>44.611224692077698</v>
      </c>
      <c r="I46" s="80">
        <v>47.227232851670102</v>
      </c>
      <c r="J46" s="80">
        <v>64.177344189401495</v>
      </c>
      <c r="K46" s="190">
        <v>198.98576842720999</v>
      </c>
      <c r="L46" s="190">
        <v>60.602623655750001</v>
      </c>
      <c r="M46" s="80">
        <v>63.199967985429801</v>
      </c>
      <c r="N46" s="80">
        <v>62.548495595262295</v>
      </c>
      <c r="O46" s="80">
        <v>67.767860732385103</v>
      </c>
      <c r="P46" s="190">
        <v>254.118947968827</v>
      </c>
      <c r="Q46" s="190">
        <v>68.567711733318006</v>
      </c>
      <c r="R46" s="80">
        <v>71.7250722384113</v>
      </c>
      <c r="S46" s="250">
        <f>+S35</f>
        <v>73.8</v>
      </c>
      <c r="T46" s="250">
        <f>+T35</f>
        <v>75.3</v>
      </c>
      <c r="U46" s="190">
        <f>+Q46+R46+S46+T46</f>
        <v>289.39278397172933</v>
      </c>
    </row>
    <row r="47" spans="1:21">
      <c r="A47" s="364" t="s">
        <v>18</v>
      </c>
      <c r="B47" s="259">
        <f t="shared" ref="B47:S47" si="23">+B40+B42+B43-B44+B46</f>
        <v>125.76158354833176</v>
      </c>
      <c r="C47" s="259">
        <f t="shared" si="23"/>
        <v>169.40398863062813</v>
      </c>
      <c r="D47" s="259">
        <f t="shared" si="23"/>
        <v>187.47777051612053</v>
      </c>
      <c r="E47" s="259">
        <f t="shared" si="23"/>
        <v>234.88891363617734</v>
      </c>
      <c r="F47" s="260">
        <f t="shared" si="23"/>
        <v>717.53225633125817</v>
      </c>
      <c r="G47" s="260">
        <f t="shared" si="23"/>
        <v>169.68358765892805</v>
      </c>
      <c r="H47" s="259">
        <f t="shared" si="23"/>
        <v>213.48258307967996</v>
      </c>
      <c r="I47" s="259">
        <f t="shared" si="23"/>
        <v>197.00365367253505</v>
      </c>
      <c r="J47" s="259">
        <f t="shared" si="23"/>
        <v>237.25769274017398</v>
      </c>
      <c r="K47" s="260">
        <f t="shared" si="23"/>
        <v>817.42751715131737</v>
      </c>
      <c r="L47" s="260">
        <f t="shared" si="23"/>
        <v>173.16492561189023</v>
      </c>
      <c r="M47" s="259">
        <f t="shared" si="23"/>
        <v>208.47294227823195</v>
      </c>
      <c r="N47" s="259">
        <f t="shared" si="23"/>
        <v>186.55082108741701</v>
      </c>
      <c r="O47" s="259">
        <f t="shared" si="23"/>
        <v>288.51785126124588</v>
      </c>
      <c r="P47" s="260">
        <f t="shared" si="23"/>
        <v>856.70654023878478</v>
      </c>
      <c r="Q47" s="260">
        <f t="shared" si="23"/>
        <v>210.72081141090297</v>
      </c>
      <c r="R47" s="259">
        <f t="shared" si="23"/>
        <v>222.9490278923351</v>
      </c>
      <c r="S47" s="261">
        <f t="shared" si="23"/>
        <v>238.30000000000007</v>
      </c>
      <c r="T47" s="261">
        <f t="shared" ref="T47:U47" si="24">+T40+T42+T43-T44+T46</f>
        <v>324.80000000000018</v>
      </c>
      <c r="U47" s="260">
        <f t="shared" si="24"/>
        <v>996.7300888857892</v>
      </c>
    </row>
    <row r="48" spans="1:21">
      <c r="A48" s="168" t="s">
        <v>224</v>
      </c>
      <c r="B48" s="174">
        <v>0</v>
      </c>
      <c r="C48" s="174">
        <v>0</v>
      </c>
      <c r="D48" s="174">
        <v>0</v>
      </c>
      <c r="E48" s="174">
        <v>0</v>
      </c>
      <c r="F48" s="186">
        <v>0</v>
      </c>
      <c r="G48" s="186">
        <v>3.2129999999999939</v>
      </c>
      <c r="H48" s="174">
        <v>4.1953943800000388</v>
      </c>
      <c r="I48" s="174">
        <v>14.462448574484995</v>
      </c>
      <c r="J48" s="174">
        <v>18.875558852231023</v>
      </c>
      <c r="K48" s="186">
        <v>40.746401806715994</v>
      </c>
      <c r="L48" s="186">
        <v>14.048199173739988</v>
      </c>
      <c r="M48" s="174">
        <v>18.939652236931011</v>
      </c>
      <c r="N48" s="174">
        <v>35.491344428462014</v>
      </c>
      <c r="O48" s="174">
        <v>25.169520074203035</v>
      </c>
      <c r="P48" s="186">
        <v>93.648715913334968</v>
      </c>
      <c r="Q48" s="186">
        <v>9.678807370276985</v>
      </c>
      <c r="R48" s="174">
        <v>7.4595061378560104</v>
      </c>
      <c r="S48" s="191">
        <v>0</v>
      </c>
      <c r="T48" s="191">
        <v>0</v>
      </c>
      <c r="U48" s="186">
        <f>+Q48+R48+S48+T48</f>
        <v>17.138313508132995</v>
      </c>
    </row>
    <row r="49" spans="1:21">
      <c r="A49" s="364" t="s">
        <v>17</v>
      </c>
      <c r="B49" s="259">
        <f t="shared" ref="B49:S49" si="25">+B47+B48</f>
        <v>125.76158354833176</v>
      </c>
      <c r="C49" s="259">
        <f t="shared" si="25"/>
        <v>169.40398863062813</v>
      </c>
      <c r="D49" s="259">
        <f t="shared" si="25"/>
        <v>187.47777051612053</v>
      </c>
      <c r="E49" s="259">
        <f t="shared" si="25"/>
        <v>234.88891363617734</v>
      </c>
      <c r="F49" s="260">
        <f t="shared" si="25"/>
        <v>717.53225633125817</v>
      </c>
      <c r="G49" s="260">
        <f t="shared" si="25"/>
        <v>172.89658765892804</v>
      </c>
      <c r="H49" s="259">
        <f t="shared" si="25"/>
        <v>217.67797745967999</v>
      </c>
      <c r="I49" s="259">
        <f t="shared" si="25"/>
        <v>211.46610224702005</v>
      </c>
      <c r="J49" s="259">
        <f t="shared" si="25"/>
        <v>256.13325159240503</v>
      </c>
      <c r="K49" s="260">
        <f t="shared" si="25"/>
        <v>858.17391895803337</v>
      </c>
      <c r="L49" s="260">
        <f t="shared" si="25"/>
        <v>187.21312478563021</v>
      </c>
      <c r="M49" s="259">
        <f t="shared" si="25"/>
        <v>227.41259451516297</v>
      </c>
      <c r="N49" s="259">
        <f t="shared" si="25"/>
        <v>222.04216551587902</v>
      </c>
      <c r="O49" s="259">
        <f t="shared" si="25"/>
        <v>313.68737133544892</v>
      </c>
      <c r="P49" s="260">
        <f t="shared" si="25"/>
        <v>950.35525615211975</v>
      </c>
      <c r="Q49" s="260">
        <f t="shared" si="25"/>
        <v>220.39961878117995</v>
      </c>
      <c r="R49" s="259">
        <f t="shared" si="25"/>
        <v>230.40853403019111</v>
      </c>
      <c r="S49" s="261">
        <f t="shared" si="25"/>
        <v>238.30000000000007</v>
      </c>
      <c r="T49" s="261">
        <f t="shared" ref="T49:U49" si="26">+T47+T48</f>
        <v>324.80000000000018</v>
      </c>
      <c r="U49" s="260">
        <f t="shared" si="26"/>
        <v>1013.8684023939222</v>
      </c>
    </row>
    <row r="50" spans="1:21">
      <c r="A50" s="168" t="s">
        <v>181</v>
      </c>
      <c r="B50" s="262">
        <f t="shared" ref="B50:S50" si="27">+B49/B29</f>
        <v>0.1789524021744838</v>
      </c>
      <c r="C50" s="262">
        <f t="shared" si="27"/>
        <v>0.18799895498701563</v>
      </c>
      <c r="D50" s="262">
        <f t="shared" si="27"/>
        <v>0.19225298969408905</v>
      </c>
      <c r="E50" s="262">
        <f t="shared" si="27"/>
        <v>0.18769223857991643</v>
      </c>
      <c r="F50" s="263">
        <f t="shared" si="27"/>
        <v>0.18732199558603185</v>
      </c>
      <c r="G50" s="263">
        <f t="shared" si="27"/>
        <v>0.20126932155220373</v>
      </c>
      <c r="H50" s="262">
        <f t="shared" si="27"/>
        <v>0.20464766085708205</v>
      </c>
      <c r="I50" s="262">
        <f t="shared" si="27"/>
        <v>0.18626945930508734</v>
      </c>
      <c r="J50" s="262">
        <f t="shared" si="27"/>
        <v>0.17700052535202049</v>
      </c>
      <c r="K50" s="263">
        <f t="shared" si="27"/>
        <v>0.19049158213296205</v>
      </c>
      <c r="L50" s="263">
        <f t="shared" si="27"/>
        <v>0.17479277189916617</v>
      </c>
      <c r="M50" s="262">
        <f t="shared" si="27"/>
        <v>0.18183669826833906</v>
      </c>
      <c r="N50" s="262">
        <f t="shared" si="27"/>
        <v>0.17895758227017608</v>
      </c>
      <c r="O50" s="262">
        <f t="shared" si="27"/>
        <v>0.20309722776378605</v>
      </c>
      <c r="P50" s="263">
        <f t="shared" si="27"/>
        <v>0.18608981693196283</v>
      </c>
      <c r="Q50" s="263">
        <f t="shared" si="27"/>
        <v>0.19493123770126181</v>
      </c>
      <c r="R50" s="262">
        <f t="shared" si="27"/>
        <v>0.18226620530440044</v>
      </c>
      <c r="S50" s="264">
        <f t="shared" si="27"/>
        <v>0.1758412042502952</v>
      </c>
      <c r="T50" s="264">
        <f t="shared" ref="T50:U50" si="28">+T49/T29</f>
        <v>0.19230313795145068</v>
      </c>
      <c r="U50" s="263">
        <f t="shared" si="28"/>
        <v>0.1864076445215575</v>
      </c>
    </row>
    <row r="51" spans="1:21">
      <c r="A51" s="168"/>
      <c r="B51" s="167"/>
      <c r="C51" s="374"/>
      <c r="D51" s="374"/>
      <c r="E51" s="374"/>
      <c r="F51" s="375"/>
      <c r="G51" s="375"/>
      <c r="H51" s="374"/>
      <c r="I51" s="374"/>
      <c r="J51" s="374"/>
      <c r="K51" s="375"/>
      <c r="L51" s="375"/>
      <c r="M51" s="374"/>
      <c r="N51" s="374"/>
      <c r="O51" s="374"/>
      <c r="P51" s="375"/>
      <c r="Q51" s="375"/>
      <c r="R51" s="374"/>
      <c r="S51" s="76"/>
      <c r="T51" s="76"/>
      <c r="U51" s="375"/>
    </row>
    <row r="52" spans="1:21" s="421" customFormat="1">
      <c r="A52" s="454" t="s">
        <v>20</v>
      </c>
      <c r="B52" s="455"/>
      <c r="C52" s="456"/>
      <c r="D52" s="456"/>
      <c r="E52" s="456"/>
      <c r="F52" s="457"/>
      <c r="G52" s="457"/>
      <c r="H52" s="456"/>
      <c r="I52" s="456"/>
      <c r="J52" s="456"/>
      <c r="K52" s="457"/>
      <c r="L52" s="457"/>
      <c r="M52" s="456"/>
      <c r="N52" s="456"/>
      <c r="O52" s="456"/>
      <c r="P52" s="457"/>
      <c r="Q52" s="457"/>
      <c r="R52" s="456"/>
      <c r="S52" s="417"/>
      <c r="T52" s="417"/>
      <c r="U52" s="457"/>
    </row>
    <row r="53" spans="1:21">
      <c r="A53" s="362" t="s">
        <v>132</v>
      </c>
      <c r="B53" s="269">
        <v>347.00838549927698</v>
      </c>
      <c r="C53" s="269">
        <v>357.83383527506203</v>
      </c>
      <c r="D53" s="269">
        <v>396.04133783991404</v>
      </c>
      <c r="E53" s="269">
        <v>544.88485852829001</v>
      </c>
      <c r="F53" s="270">
        <v>1645.7684171425399</v>
      </c>
      <c r="G53" s="270">
        <v>321.83271716202</v>
      </c>
      <c r="H53" s="269">
        <v>406.96490724223099</v>
      </c>
      <c r="I53" s="269">
        <v>455.24772509190296</v>
      </c>
      <c r="J53" s="269">
        <v>683.30771979805695</v>
      </c>
      <c r="K53" s="270">
        <v>1867.3530692942099</v>
      </c>
      <c r="L53" s="270">
        <v>465.71723036646904</v>
      </c>
      <c r="M53" s="269">
        <v>525.56101692021605</v>
      </c>
      <c r="N53" s="269">
        <v>524.46758862592503</v>
      </c>
      <c r="O53" s="269">
        <v>675.48586829271699</v>
      </c>
      <c r="P53" s="270">
        <v>2191.2317042053301</v>
      </c>
      <c r="Q53" s="270">
        <v>475.73538860101701</v>
      </c>
      <c r="R53" s="269">
        <v>547.83108060473091</v>
      </c>
      <c r="S53" s="261">
        <v>574.29999999999995</v>
      </c>
      <c r="T53" s="261">
        <v>780.7</v>
      </c>
      <c r="U53" s="270">
        <f>+Q53+R53+S53+T53</f>
        <v>2378.566469205748</v>
      </c>
    </row>
    <row r="54" spans="1:21" s="19" customFormat="1">
      <c r="A54" s="363" t="s">
        <v>49</v>
      </c>
      <c r="B54" s="80">
        <v>171.67037053085301</v>
      </c>
      <c r="C54" s="80">
        <v>153.153875753379</v>
      </c>
      <c r="D54" s="80">
        <v>178.45144683848901</v>
      </c>
      <c r="E54" s="80">
        <v>195.20751887679194</v>
      </c>
      <c r="F54" s="190">
        <v>698.48321199951988</v>
      </c>
      <c r="G54" s="190">
        <v>169.03145697814904</v>
      </c>
      <c r="H54" s="80">
        <v>174.94569565564302</v>
      </c>
      <c r="I54" s="80">
        <v>277.60402786688206</v>
      </c>
      <c r="J54" s="80">
        <v>495.37802958501311</v>
      </c>
      <c r="K54" s="190">
        <v>1116.9592100856898</v>
      </c>
      <c r="L54" s="190">
        <v>374.63009169872794</v>
      </c>
      <c r="M54" s="80">
        <v>428.3564533944849</v>
      </c>
      <c r="N54" s="80">
        <v>423.58602628746189</v>
      </c>
      <c r="O54" s="80">
        <v>466.79128255034311</v>
      </c>
      <c r="P54" s="190">
        <v>1693.36385393102</v>
      </c>
      <c r="Q54" s="190">
        <v>368.45237889599389</v>
      </c>
      <c r="R54" s="80">
        <v>406.90351048420303</v>
      </c>
      <c r="S54" s="250">
        <v>458.8</v>
      </c>
      <c r="T54" s="250">
        <v>552.1</v>
      </c>
      <c r="U54" s="190">
        <f>+Q54+R54+S54+T54</f>
        <v>1786.255889380197</v>
      </c>
    </row>
    <row r="55" spans="1:21">
      <c r="A55" s="362" t="s">
        <v>152</v>
      </c>
      <c r="B55" s="269">
        <v>518.67875603012999</v>
      </c>
      <c r="C55" s="269">
        <v>510.98771102844103</v>
      </c>
      <c r="D55" s="269">
        <v>574.49278467840304</v>
      </c>
      <c r="E55" s="269">
        <v>740.09237740508195</v>
      </c>
      <c r="F55" s="270">
        <v>2344.2516291420598</v>
      </c>
      <c r="G55" s="270">
        <v>490.86417414016904</v>
      </c>
      <c r="H55" s="269">
        <v>581.91060289787401</v>
      </c>
      <c r="I55" s="269">
        <v>732.85175295878503</v>
      </c>
      <c r="J55" s="269">
        <v>1178.6857493830701</v>
      </c>
      <c r="K55" s="270">
        <v>2984.3122793798998</v>
      </c>
      <c r="L55" s="270">
        <v>840.34732206519698</v>
      </c>
      <c r="M55" s="269">
        <v>953.91747031470095</v>
      </c>
      <c r="N55" s="269">
        <v>948.05361491338692</v>
      </c>
      <c r="O55" s="269">
        <v>1142.2771508430601</v>
      </c>
      <c r="P55" s="270">
        <v>3884.5955581363501</v>
      </c>
      <c r="Q55" s="270">
        <v>844.1877674970109</v>
      </c>
      <c r="R55" s="269">
        <v>954.73459108893394</v>
      </c>
      <c r="S55" s="261">
        <f>+S53+S54</f>
        <v>1033.0999999999999</v>
      </c>
      <c r="T55" s="261">
        <f>+T53+T54</f>
        <v>1332.8000000000002</v>
      </c>
      <c r="U55" s="270">
        <f>+U53+U54</f>
        <v>4164.822358585945</v>
      </c>
    </row>
    <row r="56" spans="1:21">
      <c r="A56" s="175"/>
      <c r="B56" s="84"/>
      <c r="C56" s="84"/>
      <c r="D56" s="84"/>
      <c r="E56" s="84"/>
      <c r="F56" s="189"/>
      <c r="G56" s="189"/>
      <c r="H56" s="84"/>
      <c r="I56" s="84"/>
      <c r="J56" s="84"/>
      <c r="K56" s="189"/>
      <c r="L56" s="189"/>
      <c r="M56" s="84"/>
      <c r="N56" s="84"/>
      <c r="O56" s="84"/>
      <c r="P56" s="189"/>
      <c r="Q56" s="189"/>
      <c r="R56" s="84"/>
      <c r="S56" s="191"/>
      <c r="T56" s="191"/>
      <c r="U56" s="189"/>
    </row>
    <row r="57" spans="1:21">
      <c r="A57" s="175" t="s">
        <v>167</v>
      </c>
      <c r="B57" s="265">
        <v>371.54700296645404</v>
      </c>
      <c r="C57" s="265">
        <v>360.19056677683403</v>
      </c>
      <c r="D57" s="265">
        <v>402.50290898741605</v>
      </c>
      <c r="E57" s="265">
        <v>471.61844071817796</v>
      </c>
      <c r="F57" s="266">
        <v>1605.85891944888</v>
      </c>
      <c r="G57" s="266">
        <v>359.83633193935299</v>
      </c>
      <c r="H57" s="265">
        <v>397.79541279459397</v>
      </c>
      <c r="I57" s="265">
        <v>537.67106196753002</v>
      </c>
      <c r="J57" s="265">
        <v>892.96509944391403</v>
      </c>
      <c r="K57" s="266">
        <v>2188.26790614539</v>
      </c>
      <c r="L57" s="266">
        <v>677.54541349190902</v>
      </c>
      <c r="M57" s="265">
        <v>757.78036199838107</v>
      </c>
      <c r="N57" s="265">
        <v>734.34370481467397</v>
      </c>
      <c r="O57" s="265">
        <v>832.05433745792311</v>
      </c>
      <c r="P57" s="266">
        <v>3001.7238177628897</v>
      </c>
      <c r="Q57" s="266">
        <v>669.52287561229593</v>
      </c>
      <c r="R57" s="265">
        <v>729.97770393824896</v>
      </c>
      <c r="S57" s="191">
        <v>803.3</v>
      </c>
      <c r="T57" s="191">
        <v>978</v>
      </c>
      <c r="U57" s="266">
        <f>+Q57+R57+S57+T57</f>
        <v>3180.8005795505451</v>
      </c>
    </row>
    <row r="58" spans="1:21">
      <c r="A58" s="175" t="s">
        <v>168</v>
      </c>
      <c r="B58" s="265">
        <v>124.53319910617</v>
      </c>
      <c r="C58" s="265">
        <v>123.56991093354399</v>
      </c>
      <c r="D58" s="265">
        <v>135.71522005264401</v>
      </c>
      <c r="E58" s="265">
        <v>194.25242812054501</v>
      </c>
      <c r="F58" s="266">
        <v>578.07075821290198</v>
      </c>
      <c r="G58" s="266">
        <v>113.61902740012201</v>
      </c>
      <c r="H58" s="265">
        <v>144.80665720534398</v>
      </c>
      <c r="I58" s="265">
        <v>139.171659490595</v>
      </c>
      <c r="J58" s="265">
        <v>216.952329003182</v>
      </c>
      <c r="K58" s="266">
        <v>614.54967309924405</v>
      </c>
      <c r="L58" s="266">
        <v>148.20105657780098</v>
      </c>
      <c r="M58" s="265">
        <v>160.69057747385401</v>
      </c>
      <c r="N58" s="265">
        <v>164.550561552441</v>
      </c>
      <c r="O58" s="265">
        <v>212.63650419360599</v>
      </c>
      <c r="P58" s="266">
        <v>686.07869979770101</v>
      </c>
      <c r="Q58" s="266">
        <v>143.09122026203701</v>
      </c>
      <c r="R58" s="265">
        <v>164.68553124780198</v>
      </c>
      <c r="S58" s="191">
        <v>158.9</v>
      </c>
      <c r="T58" s="191">
        <v>222.8</v>
      </c>
      <c r="U58" s="266">
        <f>+Q58+R58+S58+T58</f>
        <v>689.476751509839</v>
      </c>
    </row>
    <row r="59" spans="1:21" s="19" customFormat="1">
      <c r="A59" s="363" t="s">
        <v>169</v>
      </c>
      <c r="B59" s="267">
        <v>17.462481067582399</v>
      </c>
      <c r="C59" s="267">
        <v>15.319994520514799</v>
      </c>
      <c r="D59" s="267">
        <v>16.079249558755603</v>
      </c>
      <c r="E59" s="267">
        <v>15.766358811828701</v>
      </c>
      <c r="F59" s="268">
        <v>64.628083958681501</v>
      </c>
      <c r="G59" s="268">
        <v>14.764543845978499</v>
      </c>
      <c r="H59" s="267">
        <v>14.579797322085399</v>
      </c>
      <c r="I59" s="267">
        <v>15.149718044503201</v>
      </c>
      <c r="J59" s="267">
        <v>23.769505638748601</v>
      </c>
      <c r="K59" s="268">
        <v>68.263564851315707</v>
      </c>
      <c r="L59" s="268">
        <v>15.000455974111899</v>
      </c>
      <c r="M59" s="267">
        <v>16.251069519863201</v>
      </c>
      <c r="N59" s="267">
        <v>19.379643483200098</v>
      </c>
      <c r="O59" s="267">
        <v>15.987895430072799</v>
      </c>
      <c r="P59" s="268">
        <v>66.619064407248004</v>
      </c>
      <c r="Q59" s="268">
        <v>15.5706368828787</v>
      </c>
      <c r="R59" s="267">
        <v>18.844028576416399</v>
      </c>
      <c r="S59" s="250">
        <v>17.5</v>
      </c>
      <c r="T59" s="250">
        <v>20.399999999999999</v>
      </c>
      <c r="U59" s="268">
        <f>+Q59+R59+S59+T59</f>
        <v>72.314665459295099</v>
      </c>
    </row>
    <row r="60" spans="1:21">
      <c r="A60" s="175" t="s">
        <v>6</v>
      </c>
      <c r="B60" s="84">
        <v>513.54268314020646</v>
      </c>
      <c r="C60" s="84">
        <v>499.08047223089284</v>
      </c>
      <c r="D60" s="84">
        <v>554.29737859881561</v>
      </c>
      <c r="E60" s="84">
        <v>681.63722765055172</v>
      </c>
      <c r="F60" s="189">
        <v>2248.5577616204637</v>
      </c>
      <c r="G60" s="189">
        <v>488.21990318545346</v>
      </c>
      <c r="H60" s="84">
        <v>557.18186732202332</v>
      </c>
      <c r="I60" s="84">
        <v>691.99243950262814</v>
      </c>
      <c r="J60" s="84">
        <v>1133.6869340858445</v>
      </c>
      <c r="K60" s="189">
        <v>2871.0811440959496</v>
      </c>
      <c r="L60" s="189">
        <v>840.74692604382187</v>
      </c>
      <c r="M60" s="84">
        <v>934.72200899209827</v>
      </c>
      <c r="N60" s="84">
        <v>918.27390985031502</v>
      </c>
      <c r="O60" s="84">
        <v>1060.6787370816019</v>
      </c>
      <c r="P60" s="189">
        <v>3754.4215819678388</v>
      </c>
      <c r="Q60" s="189">
        <v>828.18473275721169</v>
      </c>
      <c r="R60" s="84">
        <v>913.50726376246735</v>
      </c>
      <c r="S60" s="191">
        <f>+S57+S58+S59</f>
        <v>979.69999999999993</v>
      </c>
      <c r="T60" s="191">
        <f>+T57+T58+T59</f>
        <v>1221.2</v>
      </c>
      <c r="U60" s="189">
        <f>+U57+U58+U59</f>
        <v>3942.5919965196795</v>
      </c>
    </row>
    <row r="61" spans="1:21" ht="2.25" customHeight="1">
      <c r="A61" s="175"/>
      <c r="B61" s="84"/>
      <c r="C61" s="84"/>
      <c r="D61" s="84"/>
      <c r="E61" s="84"/>
      <c r="F61" s="189"/>
      <c r="G61" s="189"/>
      <c r="H61" s="84"/>
      <c r="I61" s="84"/>
      <c r="J61" s="84"/>
      <c r="K61" s="189"/>
      <c r="L61" s="189"/>
      <c r="M61" s="84"/>
      <c r="N61" s="84"/>
      <c r="O61" s="84"/>
      <c r="P61" s="189"/>
      <c r="Q61" s="189"/>
      <c r="R61" s="84"/>
      <c r="S61" s="191"/>
      <c r="T61" s="191"/>
      <c r="U61" s="189"/>
    </row>
    <row r="62" spans="1:21" hidden="1" outlineLevel="1">
      <c r="A62" s="175" t="s">
        <v>7</v>
      </c>
      <c r="B62" s="265">
        <v>0</v>
      </c>
      <c r="C62" s="265">
        <v>0</v>
      </c>
      <c r="D62" s="265">
        <v>0</v>
      </c>
      <c r="E62" s="265">
        <v>0</v>
      </c>
      <c r="F62" s="266">
        <f>SUM(B62:E62)</f>
        <v>0</v>
      </c>
      <c r="G62" s="266">
        <v>0</v>
      </c>
      <c r="H62" s="265">
        <v>0</v>
      </c>
      <c r="I62" s="265">
        <v>0</v>
      </c>
      <c r="J62" s="265">
        <v>0</v>
      </c>
      <c r="K62" s="266">
        <f>SUM(G62:J62)</f>
        <v>0</v>
      </c>
      <c r="L62" s="266">
        <v>0</v>
      </c>
      <c r="M62" s="265">
        <v>0</v>
      </c>
      <c r="N62" s="265">
        <v>0</v>
      </c>
      <c r="O62" s="265">
        <v>0</v>
      </c>
      <c r="P62" s="266">
        <f>SUM(L62:O62)</f>
        <v>0</v>
      </c>
      <c r="Q62" s="266">
        <v>0</v>
      </c>
      <c r="R62" s="265">
        <v>0</v>
      </c>
      <c r="S62" s="191"/>
      <c r="T62" s="191"/>
      <c r="U62" s="266">
        <f>SUM(Q62:T62)</f>
        <v>0</v>
      </c>
    </row>
    <row r="63" spans="1:21" ht="5.25" hidden="1" customHeight="1" outlineLevel="1">
      <c r="A63" s="175"/>
      <c r="B63" s="84"/>
      <c r="C63" s="84"/>
      <c r="D63" s="84"/>
      <c r="E63" s="84"/>
      <c r="F63" s="189"/>
      <c r="G63" s="189"/>
      <c r="H63" s="84"/>
      <c r="I63" s="84"/>
      <c r="J63" s="84"/>
      <c r="K63" s="189"/>
      <c r="L63" s="189"/>
      <c r="M63" s="84"/>
      <c r="N63" s="84"/>
      <c r="O63" s="84"/>
      <c r="P63" s="189"/>
      <c r="Q63" s="189"/>
      <c r="R63" s="84"/>
      <c r="S63" s="191"/>
      <c r="T63" s="191"/>
      <c r="U63" s="189"/>
    </row>
    <row r="64" spans="1:21" collapsed="1">
      <c r="A64" s="175" t="s">
        <v>8</v>
      </c>
      <c r="B64" s="84">
        <v>5.1360728899235255</v>
      </c>
      <c r="C64" s="84">
        <v>11.907238797548189</v>
      </c>
      <c r="D64" s="84">
        <v>20.195406079587428</v>
      </c>
      <c r="E64" s="84">
        <v>58.455149754530225</v>
      </c>
      <c r="F64" s="189">
        <v>95.693867521596076</v>
      </c>
      <c r="G64" s="189">
        <v>2.64427095471558</v>
      </c>
      <c r="H64" s="84">
        <v>24.728735575850692</v>
      </c>
      <c r="I64" s="84">
        <v>40.859313456156883</v>
      </c>
      <c r="J64" s="84">
        <v>44.998815297225519</v>
      </c>
      <c r="K64" s="189">
        <v>113.23113528395015</v>
      </c>
      <c r="L64" s="189">
        <v>-0.39960397862489572</v>
      </c>
      <c r="M64" s="84">
        <v>19.195461322602682</v>
      </c>
      <c r="N64" s="84">
        <v>29.779705063071901</v>
      </c>
      <c r="O64" s="84">
        <v>81.598413761458232</v>
      </c>
      <c r="P64" s="189">
        <v>130.17397616851122</v>
      </c>
      <c r="Q64" s="189">
        <v>16</v>
      </c>
      <c r="R64" s="84">
        <v>41.2</v>
      </c>
      <c r="S64" s="191">
        <f>+S55-S60</f>
        <v>53.399999999999977</v>
      </c>
      <c r="T64" s="191">
        <f>+T55-T60</f>
        <v>111.60000000000014</v>
      </c>
      <c r="U64" s="189">
        <f>SUM(Q64:T64)</f>
        <v>222.2000000000001</v>
      </c>
    </row>
    <row r="65" spans="1:21" ht="3.75" customHeight="1">
      <c r="A65" s="168"/>
      <c r="B65" s="84"/>
      <c r="C65" s="84"/>
      <c r="D65" s="84"/>
      <c r="E65" s="84"/>
      <c r="F65" s="189"/>
      <c r="G65" s="189"/>
      <c r="H65" s="84"/>
      <c r="I65" s="84"/>
      <c r="J65" s="84"/>
      <c r="K65" s="189"/>
      <c r="L65" s="189"/>
      <c r="M65" s="84"/>
      <c r="N65" s="84"/>
      <c r="O65" s="84"/>
      <c r="P65" s="189"/>
      <c r="Q65" s="189"/>
      <c r="R65" s="84"/>
      <c r="S65" s="191"/>
      <c r="T65" s="191"/>
      <c r="U65" s="189"/>
    </row>
    <row r="66" spans="1:21">
      <c r="A66" s="175" t="s">
        <v>170</v>
      </c>
      <c r="B66" s="265">
        <v>0.36847094289063803</v>
      </c>
      <c r="C66" s="265">
        <v>0.505275821045576</v>
      </c>
      <c r="D66" s="265">
        <v>0.26106961506604798</v>
      </c>
      <c r="E66" s="265">
        <v>0.36646115769939802</v>
      </c>
      <c r="F66" s="266">
        <v>1.50127753670166</v>
      </c>
      <c r="G66" s="266">
        <v>0.34842388451443601</v>
      </c>
      <c r="H66" s="265">
        <v>0.34200305810397502</v>
      </c>
      <c r="I66" s="265">
        <v>0.73217261133878797</v>
      </c>
      <c r="J66" s="265">
        <v>0.51094868681885997</v>
      </c>
      <c r="K66" s="266">
        <v>1.93354824077606</v>
      </c>
      <c r="L66" s="266">
        <v>0.300771388811578</v>
      </c>
      <c r="M66" s="265">
        <v>0.44267152787834901</v>
      </c>
      <c r="N66" s="265">
        <v>0.48241341735591303</v>
      </c>
      <c r="O66" s="265">
        <v>0.5908380387371871</v>
      </c>
      <c r="P66" s="266">
        <v>1.8166943727830298</v>
      </c>
      <c r="Q66" s="266">
        <v>0.50145353472824095</v>
      </c>
      <c r="R66" s="265">
        <v>0.31736743137002199</v>
      </c>
      <c r="S66" s="191">
        <v>0.4</v>
      </c>
      <c r="T66" s="191">
        <v>0.3</v>
      </c>
      <c r="U66" s="266">
        <f>+Q66+R66+S66+T66</f>
        <v>1.518820966098263</v>
      </c>
    </row>
    <row r="67" spans="1:21">
      <c r="A67" s="175" t="s">
        <v>160</v>
      </c>
      <c r="B67" s="265">
        <v>0</v>
      </c>
      <c r="C67" s="265">
        <v>0</v>
      </c>
      <c r="D67" s="265">
        <v>0.66107529857182701</v>
      </c>
      <c r="E67" s="265">
        <v>0.11730822183088399</v>
      </c>
      <c r="F67" s="266">
        <v>0.77838304903064293</v>
      </c>
      <c r="G67" s="266">
        <v>0</v>
      </c>
      <c r="H67" s="265">
        <v>0</v>
      </c>
      <c r="I67" s="265">
        <v>6.3408893593773302E-2</v>
      </c>
      <c r="J67" s="265">
        <v>-0.110913329400695</v>
      </c>
      <c r="K67" s="266">
        <v>0</v>
      </c>
      <c r="L67" s="266">
        <v>0</v>
      </c>
      <c r="M67" s="265">
        <v>0</v>
      </c>
      <c r="N67" s="265">
        <v>0</v>
      </c>
      <c r="O67" s="265">
        <v>0</v>
      </c>
      <c r="P67" s="266">
        <v>0</v>
      </c>
      <c r="Q67" s="266">
        <v>0</v>
      </c>
      <c r="R67" s="265">
        <v>0</v>
      </c>
      <c r="S67" s="191">
        <v>-0.1</v>
      </c>
      <c r="T67" s="191">
        <v>0</v>
      </c>
      <c r="U67" s="266">
        <f>+Q67+R67+S67+T67</f>
        <v>-0.1</v>
      </c>
    </row>
    <row r="68" spans="1:21">
      <c r="A68" s="168" t="s">
        <v>180</v>
      </c>
      <c r="B68" s="265">
        <v>-0.39819429012201696</v>
      </c>
      <c r="C68" s="265">
        <v>0.36346993442763703</v>
      </c>
      <c r="D68" s="265">
        <v>-0.287569177563478</v>
      </c>
      <c r="E68" s="265">
        <v>0.38821098349079403</v>
      </c>
      <c r="F68" s="266">
        <v>6.5917450232936506E-2</v>
      </c>
      <c r="G68" s="266">
        <v>-0.60663536724501299</v>
      </c>
      <c r="H68" s="265">
        <v>-0.32136399898066204</v>
      </c>
      <c r="I68" s="265">
        <v>-0.19263566124759202</v>
      </c>
      <c r="J68" s="265">
        <v>0.70112825411866297</v>
      </c>
      <c r="K68" s="266">
        <v>-0.41950677335460401</v>
      </c>
      <c r="L68" s="266">
        <v>-0.40159942813904004</v>
      </c>
      <c r="M68" s="265">
        <v>-0.38785968379590496</v>
      </c>
      <c r="N68" s="265">
        <v>0.43184121774867101</v>
      </c>
      <c r="O68" s="265">
        <v>0.83359010423250501</v>
      </c>
      <c r="P68" s="266">
        <v>0.47597221004623003</v>
      </c>
      <c r="Q68" s="266">
        <v>0.34282399814610398</v>
      </c>
      <c r="R68" s="265">
        <v>-0.50315045202765007</v>
      </c>
      <c r="S68" s="191">
        <v>0</v>
      </c>
      <c r="T68" s="191">
        <v>0.2</v>
      </c>
      <c r="U68" s="266">
        <v>0</v>
      </c>
    </row>
    <row r="69" spans="1:21" ht="5.25" customHeight="1">
      <c r="A69" s="168"/>
      <c r="B69" s="265"/>
      <c r="C69" s="265"/>
      <c r="D69" s="265"/>
      <c r="E69" s="265"/>
      <c r="F69" s="266"/>
      <c r="G69" s="266"/>
      <c r="H69" s="265"/>
      <c r="I69" s="265"/>
      <c r="J69" s="265"/>
      <c r="K69" s="266"/>
      <c r="L69" s="266"/>
      <c r="M69" s="265"/>
      <c r="N69" s="265"/>
      <c r="O69" s="265"/>
      <c r="P69" s="266"/>
      <c r="Q69" s="266"/>
      <c r="R69" s="265"/>
      <c r="S69" s="191"/>
      <c r="T69" s="191"/>
      <c r="U69" s="189"/>
    </row>
    <row r="70" spans="1:21" s="19" customFormat="1">
      <c r="A70" s="363" t="s">
        <v>178</v>
      </c>
      <c r="B70" s="80">
        <v>17.462481067582399</v>
      </c>
      <c r="C70" s="80">
        <v>15.319994520514799</v>
      </c>
      <c r="D70" s="80">
        <v>16.079249558755603</v>
      </c>
      <c r="E70" s="80">
        <v>15.766358811828701</v>
      </c>
      <c r="F70" s="190">
        <v>64.628083958681501</v>
      </c>
      <c r="G70" s="190">
        <v>14.764543845978499</v>
      </c>
      <c r="H70" s="80">
        <v>14.579797322085399</v>
      </c>
      <c r="I70" s="80">
        <v>15.149718044503201</v>
      </c>
      <c r="J70" s="80">
        <v>23.769505638748601</v>
      </c>
      <c r="K70" s="190">
        <v>68.263564851315707</v>
      </c>
      <c r="L70" s="190">
        <v>15.000455974111899</v>
      </c>
      <c r="M70" s="80">
        <v>16.251069519863201</v>
      </c>
      <c r="N70" s="80">
        <v>19.379643483200098</v>
      </c>
      <c r="O70" s="80">
        <v>15.987895430072799</v>
      </c>
      <c r="P70" s="190">
        <v>66.619064407248004</v>
      </c>
      <c r="Q70" s="190">
        <v>15.5706368828787</v>
      </c>
      <c r="R70" s="80">
        <v>18.844028576416399</v>
      </c>
      <c r="S70" s="250">
        <f>+S59</f>
        <v>17.5</v>
      </c>
      <c r="T70" s="250">
        <f>+T59</f>
        <v>20.399999999999999</v>
      </c>
      <c r="U70" s="190">
        <f>+Q70+R70+S70+T70</f>
        <v>72.314665459295099</v>
      </c>
    </row>
    <row r="71" spans="1:21">
      <c r="A71" s="364" t="s">
        <v>18</v>
      </c>
      <c r="B71" s="269">
        <f t="shared" ref="B71:S71" si="29">+B64+B66+B67-B68+B70</f>
        <v>23.36521919051858</v>
      </c>
      <c r="C71" s="269">
        <f t="shared" si="29"/>
        <v>27.369039204680924</v>
      </c>
      <c r="D71" s="269">
        <f t="shared" si="29"/>
        <v>37.484369729544383</v>
      </c>
      <c r="E71" s="269">
        <f t="shared" si="29"/>
        <v>74.317066962398414</v>
      </c>
      <c r="F71" s="270">
        <f t="shared" si="29"/>
        <v>162.53569461577695</v>
      </c>
      <c r="G71" s="270">
        <f t="shared" si="29"/>
        <v>18.363874052453529</v>
      </c>
      <c r="H71" s="269">
        <f t="shared" si="29"/>
        <v>39.971899955020731</v>
      </c>
      <c r="I71" s="269">
        <f t="shared" si="29"/>
        <v>56.997248666840242</v>
      </c>
      <c r="J71" s="269">
        <f t="shared" si="29"/>
        <v>68.467228039273621</v>
      </c>
      <c r="K71" s="270">
        <f t="shared" si="29"/>
        <v>183.84775514939651</v>
      </c>
      <c r="L71" s="270">
        <f t="shared" si="29"/>
        <v>15.303222812437621</v>
      </c>
      <c r="M71" s="269">
        <f t="shared" si="29"/>
        <v>36.277062054140139</v>
      </c>
      <c r="N71" s="269">
        <f t="shared" si="29"/>
        <v>49.209920745879245</v>
      </c>
      <c r="O71" s="269">
        <f t="shared" si="29"/>
        <v>97.343557126035719</v>
      </c>
      <c r="P71" s="270">
        <f t="shared" si="29"/>
        <v>198.13376273849602</v>
      </c>
      <c r="Q71" s="270">
        <f t="shared" si="29"/>
        <v>31.729266419460835</v>
      </c>
      <c r="R71" s="269">
        <f t="shared" si="29"/>
        <v>60.864546459814072</v>
      </c>
      <c r="S71" s="261">
        <f t="shared" si="29"/>
        <v>71.199999999999974</v>
      </c>
      <c r="T71" s="261">
        <f t="shared" ref="T71:U71" si="30">+T64+T66+T67-T68+T70</f>
        <v>132.10000000000014</v>
      </c>
      <c r="U71" s="260">
        <f t="shared" si="30"/>
        <v>295.93348642539348</v>
      </c>
    </row>
    <row r="72" spans="1:21">
      <c r="A72" s="168" t="s">
        <v>224</v>
      </c>
      <c r="B72" s="84">
        <v>0</v>
      </c>
      <c r="C72" s="84">
        <v>0</v>
      </c>
      <c r="D72" s="84">
        <v>0</v>
      </c>
      <c r="E72" s="84">
        <v>0</v>
      </c>
      <c r="F72" s="189">
        <v>0</v>
      </c>
      <c r="G72" s="189">
        <v>0</v>
      </c>
      <c r="H72" s="84">
        <v>2.9403124582294993E-2</v>
      </c>
      <c r="I72" s="84">
        <v>0.96967035599659113</v>
      </c>
      <c r="J72" s="84">
        <v>27.882930693033998</v>
      </c>
      <c r="K72" s="189">
        <v>28.882004173612984</v>
      </c>
      <c r="L72" s="189">
        <v>12.501682875827402</v>
      </c>
      <c r="M72" s="84">
        <v>23.572233492151895</v>
      </c>
      <c r="N72" s="84">
        <v>11.967558306434</v>
      </c>
      <c r="O72" s="84">
        <v>25.450821806457611</v>
      </c>
      <c r="P72" s="189">
        <v>73.492296480871033</v>
      </c>
      <c r="Q72" s="189">
        <v>2.1326222596814013</v>
      </c>
      <c r="R72" s="84">
        <v>7.6619429658287075</v>
      </c>
      <c r="S72" s="191">
        <v>0</v>
      </c>
      <c r="T72" s="191">
        <v>0</v>
      </c>
      <c r="U72" s="186">
        <f>+Q72+R72+S72+T72</f>
        <v>9.7945652255101088</v>
      </c>
    </row>
    <row r="73" spans="1:21">
      <c r="A73" s="364" t="s">
        <v>17</v>
      </c>
      <c r="B73" s="269">
        <f t="shared" ref="B73:S73" si="31">+B71+B72</f>
        <v>23.36521919051858</v>
      </c>
      <c r="C73" s="269">
        <f t="shared" si="31"/>
        <v>27.369039204680924</v>
      </c>
      <c r="D73" s="269">
        <f t="shared" si="31"/>
        <v>37.484369729544383</v>
      </c>
      <c r="E73" s="269">
        <f t="shared" si="31"/>
        <v>74.317066962398414</v>
      </c>
      <c r="F73" s="270">
        <f t="shared" si="31"/>
        <v>162.53569461577695</v>
      </c>
      <c r="G73" s="270">
        <f t="shared" si="31"/>
        <v>18.363874052453529</v>
      </c>
      <c r="H73" s="269">
        <f t="shared" si="31"/>
        <v>40.001303079603026</v>
      </c>
      <c r="I73" s="269">
        <f t="shared" si="31"/>
        <v>57.966919022836834</v>
      </c>
      <c r="J73" s="269">
        <f t="shared" si="31"/>
        <v>96.350158732307619</v>
      </c>
      <c r="K73" s="270">
        <f t="shared" si="31"/>
        <v>212.72975932300949</v>
      </c>
      <c r="L73" s="270">
        <f t="shared" si="31"/>
        <v>27.804905688265023</v>
      </c>
      <c r="M73" s="269">
        <f t="shared" si="31"/>
        <v>59.849295546292034</v>
      </c>
      <c r="N73" s="269">
        <f t="shared" si="31"/>
        <v>61.177479052313245</v>
      </c>
      <c r="O73" s="269">
        <f t="shared" si="31"/>
        <v>122.79437893249333</v>
      </c>
      <c r="P73" s="270">
        <f t="shared" si="31"/>
        <v>271.62605921936705</v>
      </c>
      <c r="Q73" s="270">
        <f t="shared" si="31"/>
        <v>33.86188867914224</v>
      </c>
      <c r="R73" s="269">
        <f t="shared" si="31"/>
        <v>68.526489425642779</v>
      </c>
      <c r="S73" s="261">
        <f t="shared" si="31"/>
        <v>71.199999999999974</v>
      </c>
      <c r="T73" s="261">
        <f t="shared" ref="T73:U73" si="32">+T71+T72</f>
        <v>132.10000000000014</v>
      </c>
      <c r="U73" s="260">
        <f t="shared" si="32"/>
        <v>305.72805165090358</v>
      </c>
    </row>
    <row r="74" spans="1:21">
      <c r="A74" s="168" t="s">
        <v>181</v>
      </c>
      <c r="B74" s="262">
        <f t="shared" ref="B74:S74" si="33">+B73/B53</f>
        <v>6.7333298464533106E-2</v>
      </c>
      <c r="C74" s="262">
        <f t="shared" si="33"/>
        <v>7.6485330638570589E-2</v>
      </c>
      <c r="D74" s="262">
        <f t="shared" si="33"/>
        <v>9.4647619195489488E-2</v>
      </c>
      <c r="E74" s="262">
        <f t="shared" si="33"/>
        <v>0.13639040578797793</v>
      </c>
      <c r="F74" s="263">
        <f t="shared" si="33"/>
        <v>9.8759760439429883E-2</v>
      </c>
      <c r="G74" s="263">
        <f t="shared" si="33"/>
        <v>5.7060308269431217E-2</v>
      </c>
      <c r="H74" s="262">
        <f t="shared" si="33"/>
        <v>9.8291774960816744E-2</v>
      </c>
      <c r="I74" s="262">
        <f t="shared" si="33"/>
        <v>0.12733049684352576</v>
      </c>
      <c r="J74" s="262">
        <f t="shared" si="33"/>
        <v>0.14100551763235267</v>
      </c>
      <c r="K74" s="263">
        <f t="shared" si="33"/>
        <v>0.11392048071734684</v>
      </c>
      <c r="L74" s="263">
        <f t="shared" si="33"/>
        <v>5.9703407723149027E-2</v>
      </c>
      <c r="M74" s="262">
        <f t="shared" si="33"/>
        <v>0.1138769688380019</v>
      </c>
      <c r="N74" s="262">
        <f t="shared" si="33"/>
        <v>0.11664682504517529</v>
      </c>
      <c r="O74" s="262">
        <f t="shared" si="33"/>
        <v>0.18178674743093406</v>
      </c>
      <c r="P74" s="263">
        <f t="shared" si="33"/>
        <v>0.12396044594374592</v>
      </c>
      <c r="Q74" s="263">
        <f t="shared" si="33"/>
        <v>7.1177989887864002E-2</v>
      </c>
      <c r="R74" s="262">
        <f t="shared" si="33"/>
        <v>0.1250868960373677</v>
      </c>
      <c r="S74" s="264">
        <f t="shared" si="33"/>
        <v>0.12397701549712691</v>
      </c>
      <c r="T74" s="264">
        <f t="shared" ref="T74:U74" si="34">+T73/T53</f>
        <v>0.16920712181375705</v>
      </c>
      <c r="U74" s="263">
        <f t="shared" si="34"/>
        <v>0.12853458400638787</v>
      </c>
    </row>
    <row r="75" spans="1:21">
      <c r="A75" s="168"/>
      <c r="B75" s="167"/>
      <c r="C75" s="374"/>
      <c r="D75" s="374"/>
      <c r="E75" s="374"/>
      <c r="F75" s="375"/>
      <c r="G75" s="375"/>
      <c r="H75" s="374"/>
      <c r="I75" s="374"/>
      <c r="J75" s="374"/>
      <c r="K75" s="375"/>
      <c r="L75" s="375"/>
      <c r="M75" s="374"/>
      <c r="N75" s="374"/>
      <c r="O75" s="374"/>
      <c r="P75" s="375"/>
      <c r="Q75" s="375"/>
      <c r="R75" s="167"/>
      <c r="S75" s="76"/>
      <c r="T75" s="76"/>
      <c r="U75" s="375"/>
    </row>
    <row r="76" spans="1:21" s="421" customFormat="1">
      <c r="A76" s="454" t="s">
        <v>228</v>
      </c>
      <c r="B76" s="455"/>
      <c r="C76" s="456"/>
      <c r="D76" s="456"/>
      <c r="E76" s="456"/>
      <c r="F76" s="457"/>
      <c r="G76" s="457"/>
      <c r="H76" s="456"/>
      <c r="I76" s="456"/>
      <c r="J76" s="456"/>
      <c r="K76" s="457"/>
      <c r="L76" s="457"/>
      <c r="M76" s="456"/>
      <c r="N76" s="456"/>
      <c r="O76" s="456"/>
      <c r="P76" s="457"/>
      <c r="Q76" s="457"/>
      <c r="R76" s="458"/>
      <c r="S76" s="417"/>
      <c r="T76" s="417"/>
      <c r="U76" s="457"/>
    </row>
    <row r="77" spans="1:21">
      <c r="A77" s="362" t="s">
        <v>132</v>
      </c>
      <c r="B77" s="269">
        <v>153.735483599736</v>
      </c>
      <c r="C77" s="269">
        <v>193.91524425806901</v>
      </c>
      <c r="D77" s="269">
        <v>205.59755377104398</v>
      </c>
      <c r="E77" s="269">
        <v>227.67716203317897</v>
      </c>
      <c r="F77" s="270">
        <v>780.92544366202696</v>
      </c>
      <c r="G77" s="270">
        <v>151.778340847512</v>
      </c>
      <c r="H77" s="269">
        <v>201.11160387745301</v>
      </c>
      <c r="I77" s="269">
        <v>216.47467960981803</v>
      </c>
      <c r="J77" s="269">
        <v>262.22685526763399</v>
      </c>
      <c r="K77" s="270">
        <v>831.59147960241603</v>
      </c>
      <c r="L77" s="270">
        <v>192.44694731393901</v>
      </c>
      <c r="M77" s="269">
        <v>230.41690795087601</v>
      </c>
      <c r="N77" s="269">
        <v>240.38022051747097</v>
      </c>
      <c r="O77" s="269">
        <v>323.16852206691601</v>
      </c>
      <c r="P77" s="270">
        <v>986.41259784920101</v>
      </c>
      <c r="Q77" s="270">
        <v>211.4</v>
      </c>
      <c r="R77" s="269">
        <v>270.42521654825902</v>
      </c>
      <c r="S77" s="261">
        <v>285.2</v>
      </c>
      <c r="T77" s="261">
        <v>349.4</v>
      </c>
      <c r="U77" s="270">
        <f>+Q77+R77+S77+T77</f>
        <v>1116.425216548259</v>
      </c>
    </row>
    <row r="78" spans="1:21" s="19" customFormat="1">
      <c r="A78" s="363" t="s">
        <v>49</v>
      </c>
      <c r="B78" s="80">
        <v>41.907665249064991</v>
      </c>
      <c r="C78" s="80">
        <v>47.298800308685003</v>
      </c>
      <c r="D78" s="80">
        <v>48.143993479226026</v>
      </c>
      <c r="E78" s="80">
        <v>49.501187628864017</v>
      </c>
      <c r="F78" s="190">
        <v>186.85164666584103</v>
      </c>
      <c r="G78" s="190">
        <v>58.215816227961994</v>
      </c>
      <c r="H78" s="80">
        <v>62.324139056162977</v>
      </c>
      <c r="I78" s="80">
        <v>70.925652235037006</v>
      </c>
      <c r="J78" s="80">
        <v>120.42186903222802</v>
      </c>
      <c r="K78" s="190">
        <v>311.887476551394</v>
      </c>
      <c r="L78" s="190">
        <v>118.91167038350301</v>
      </c>
      <c r="M78" s="80">
        <v>129.18549334606303</v>
      </c>
      <c r="N78" s="80">
        <v>121.42180109578103</v>
      </c>
      <c r="O78" s="80">
        <v>143.38816186907701</v>
      </c>
      <c r="P78" s="190">
        <v>512.90712669442894</v>
      </c>
      <c r="Q78" s="190">
        <v>129.68328575891704</v>
      </c>
      <c r="R78" s="80">
        <v>150.20281965699297</v>
      </c>
      <c r="S78" s="250">
        <v>155.69999999999999</v>
      </c>
      <c r="T78" s="250">
        <v>177.2</v>
      </c>
      <c r="U78" s="190">
        <f>+Q78+R78+S78+T78</f>
        <v>612.78610541591001</v>
      </c>
    </row>
    <row r="79" spans="1:21">
      <c r="A79" s="362" t="s">
        <v>152</v>
      </c>
      <c r="B79" s="269">
        <v>195.64314884880099</v>
      </c>
      <c r="C79" s="269">
        <v>241.21404456675401</v>
      </c>
      <c r="D79" s="269">
        <v>253.74154725027</v>
      </c>
      <c r="E79" s="269">
        <v>277.17834966204299</v>
      </c>
      <c r="F79" s="270">
        <v>967.777090327868</v>
      </c>
      <c r="G79" s="270">
        <v>209.99415707547399</v>
      </c>
      <c r="H79" s="269">
        <v>263.43574293361598</v>
      </c>
      <c r="I79" s="269">
        <v>287.40033184485503</v>
      </c>
      <c r="J79" s="269">
        <v>382.64872429986201</v>
      </c>
      <c r="K79" s="270">
        <v>1143.47895615381</v>
      </c>
      <c r="L79" s="270">
        <v>311.35861769744201</v>
      </c>
      <c r="M79" s="269">
        <v>359.60240129693904</v>
      </c>
      <c r="N79" s="269">
        <v>361.80202161325201</v>
      </c>
      <c r="O79" s="269">
        <v>466.55668393599302</v>
      </c>
      <c r="P79" s="270">
        <v>1499.3197245436299</v>
      </c>
      <c r="Q79" s="270">
        <v>341.14464092033103</v>
      </c>
      <c r="R79" s="269">
        <v>420.62803620525199</v>
      </c>
      <c r="S79" s="261">
        <f>+S77+S78</f>
        <v>440.9</v>
      </c>
      <c r="T79" s="261">
        <f>+T77+T78</f>
        <v>526.59999999999991</v>
      </c>
      <c r="U79" s="270">
        <f>+U77+U78</f>
        <v>1729.211321964169</v>
      </c>
    </row>
    <row r="80" spans="1:21">
      <c r="A80" s="175"/>
      <c r="B80" s="84"/>
      <c r="C80" s="84"/>
      <c r="D80" s="84"/>
      <c r="E80" s="84"/>
      <c r="F80" s="189"/>
      <c r="G80" s="189"/>
      <c r="H80" s="84"/>
      <c r="I80" s="84"/>
      <c r="J80" s="84"/>
      <c r="K80" s="189"/>
      <c r="L80" s="189"/>
      <c r="M80" s="84"/>
      <c r="N80" s="84"/>
      <c r="O80" s="84"/>
      <c r="P80" s="189"/>
      <c r="Q80" s="189"/>
      <c r="R80" s="84"/>
      <c r="S80" s="191"/>
      <c r="T80" s="191"/>
      <c r="U80" s="189"/>
    </row>
    <row r="81" spans="1:21">
      <c r="A81" s="175" t="s">
        <v>167</v>
      </c>
      <c r="B81" s="265">
        <v>129.642956279483</v>
      </c>
      <c r="C81" s="265">
        <v>151.97229206416</v>
      </c>
      <c r="D81" s="265">
        <v>156.59387762593002</v>
      </c>
      <c r="E81" s="265">
        <v>168.75108344594</v>
      </c>
      <c r="F81" s="266">
        <v>606.96020941551194</v>
      </c>
      <c r="G81" s="266">
        <v>142.399036028871</v>
      </c>
      <c r="H81" s="265">
        <v>163.77498513115998</v>
      </c>
      <c r="I81" s="265">
        <v>187.058426333505</v>
      </c>
      <c r="J81" s="265">
        <v>274.56640431857096</v>
      </c>
      <c r="K81" s="266">
        <v>767.79885181210602</v>
      </c>
      <c r="L81" s="266">
        <v>232.80379539144099</v>
      </c>
      <c r="M81" s="265">
        <v>261.34627571133103</v>
      </c>
      <c r="N81" s="265">
        <v>262.17198136622301</v>
      </c>
      <c r="O81" s="265">
        <v>315.90688556087599</v>
      </c>
      <c r="P81" s="266">
        <v>1072.2289380298701</v>
      </c>
      <c r="Q81" s="266">
        <v>252.87839290061598</v>
      </c>
      <c r="R81" s="265">
        <v>299.78650774891901</v>
      </c>
      <c r="S81" s="191">
        <v>315.39999999999998</v>
      </c>
      <c r="T81" s="191">
        <v>367.5</v>
      </c>
      <c r="U81" s="266">
        <f>+Q81+R81+S81+T81</f>
        <v>1235.564900649535</v>
      </c>
    </row>
    <row r="82" spans="1:21">
      <c r="A82" s="175" t="s">
        <v>168</v>
      </c>
      <c r="B82" s="265">
        <v>57.749182363083499</v>
      </c>
      <c r="C82" s="265">
        <v>65.487212483173309</v>
      </c>
      <c r="D82" s="265">
        <v>74.380268649128496</v>
      </c>
      <c r="E82" s="265">
        <v>68.667971754550905</v>
      </c>
      <c r="F82" s="266">
        <v>266.284635249936</v>
      </c>
      <c r="G82" s="266">
        <v>52.931315110845198</v>
      </c>
      <c r="H82" s="265">
        <v>69.998424380789899</v>
      </c>
      <c r="I82" s="265">
        <v>67.064208406326202</v>
      </c>
      <c r="J82" s="265">
        <v>86.103763369997793</v>
      </c>
      <c r="K82" s="266">
        <v>276.09771126795897</v>
      </c>
      <c r="L82" s="266">
        <v>67.778714776796804</v>
      </c>
      <c r="M82" s="265">
        <v>77.547348985573308</v>
      </c>
      <c r="N82" s="265">
        <v>72.656292197283406</v>
      </c>
      <c r="O82" s="265">
        <v>83.115127023996507</v>
      </c>
      <c r="P82" s="266">
        <v>301.09748298365002</v>
      </c>
      <c r="Q82" s="266">
        <v>68.186079598176704</v>
      </c>
      <c r="R82" s="265">
        <v>77.909248466884705</v>
      </c>
      <c r="S82" s="191">
        <v>82.6</v>
      </c>
      <c r="T82" s="191">
        <v>90</v>
      </c>
      <c r="U82" s="266">
        <f>+Q82+R82+S82+T82</f>
        <v>318.6953280650614</v>
      </c>
    </row>
    <row r="83" spans="1:21" s="19" customFormat="1">
      <c r="A83" s="363" t="s">
        <v>169</v>
      </c>
      <c r="B83" s="267">
        <v>3.0686063843541098</v>
      </c>
      <c r="C83" s="267">
        <v>3.3707137672240703</v>
      </c>
      <c r="D83" s="267">
        <v>4.1779042646352798</v>
      </c>
      <c r="E83" s="267">
        <v>4.0440790466434198</v>
      </c>
      <c r="F83" s="268">
        <v>14.6613034628569</v>
      </c>
      <c r="G83" s="268">
        <v>3.8538946985888902</v>
      </c>
      <c r="H83" s="267">
        <v>3.7900760127925599</v>
      </c>
      <c r="I83" s="267">
        <v>3.7347036135127198</v>
      </c>
      <c r="J83" s="267">
        <v>4.2305983720604896</v>
      </c>
      <c r="K83" s="190">
        <v>15.609272696954699</v>
      </c>
      <c r="L83" s="268">
        <v>4.1827363742203003</v>
      </c>
      <c r="M83" s="267">
        <v>4.2990570329908104</v>
      </c>
      <c r="N83" s="267">
        <v>4.4815512845336407</v>
      </c>
      <c r="O83" s="267">
        <v>4.8463830851898297</v>
      </c>
      <c r="P83" s="190">
        <v>17.809727776934601</v>
      </c>
      <c r="Q83" s="268">
        <v>4.3144699212345303</v>
      </c>
      <c r="R83" s="267">
        <v>4.3887268082067497</v>
      </c>
      <c r="S83" s="250">
        <v>4.5999999999999996</v>
      </c>
      <c r="T83" s="250">
        <v>4.9000000000000004</v>
      </c>
      <c r="U83" s="268">
        <f>+Q83+R83+S83+T83</f>
        <v>18.203196729441281</v>
      </c>
    </row>
    <row r="84" spans="1:21">
      <c r="A84" s="175" t="s">
        <v>6</v>
      </c>
      <c r="B84" s="84">
        <v>190.46074502692059</v>
      </c>
      <c r="C84" s="84">
        <v>220.83021831455738</v>
      </c>
      <c r="D84" s="84">
        <v>235.15205053969379</v>
      </c>
      <c r="E84" s="84">
        <v>241.46313424713432</v>
      </c>
      <c r="F84" s="266">
        <v>887.90614812830495</v>
      </c>
      <c r="G84" s="189">
        <v>199.18424583830509</v>
      </c>
      <c r="H84" s="84">
        <v>237.56348552474242</v>
      </c>
      <c r="I84" s="84">
        <v>257.85733835334389</v>
      </c>
      <c r="J84" s="84">
        <v>364.90076606062928</v>
      </c>
      <c r="K84" s="189">
        <v>1059.5058357770197</v>
      </c>
      <c r="L84" s="189">
        <v>304.7652465424581</v>
      </c>
      <c r="M84" s="84">
        <v>343.19268172989513</v>
      </c>
      <c r="N84" s="84">
        <v>339.30982484804002</v>
      </c>
      <c r="O84" s="84">
        <v>403.86839567006234</v>
      </c>
      <c r="P84" s="189">
        <v>1391.1361487904546</v>
      </c>
      <c r="Q84" s="189">
        <v>325.37894242002722</v>
      </c>
      <c r="R84" s="84">
        <v>382.08448302401047</v>
      </c>
      <c r="S84" s="191">
        <f>+S81+S82+S83</f>
        <v>402.6</v>
      </c>
      <c r="T84" s="191">
        <f>+T81+T82+T83</f>
        <v>462.4</v>
      </c>
      <c r="U84" s="189">
        <f>+U81+U82+U83</f>
        <v>1572.4634254440377</v>
      </c>
    </row>
    <row r="85" spans="1:21" ht="3.75" customHeight="1">
      <c r="A85" s="175"/>
      <c r="B85" s="84"/>
      <c r="C85" s="84"/>
      <c r="D85" s="84"/>
      <c r="E85" s="84"/>
      <c r="F85" s="266"/>
      <c r="G85" s="189"/>
      <c r="H85" s="84"/>
      <c r="I85" s="84"/>
      <c r="J85" s="84"/>
      <c r="K85" s="189"/>
      <c r="L85" s="189"/>
      <c r="M85" s="84"/>
      <c r="N85" s="84"/>
      <c r="O85" s="84"/>
      <c r="P85" s="189"/>
      <c r="Q85" s="189"/>
      <c r="R85" s="84"/>
      <c r="S85" s="191"/>
      <c r="T85" s="191"/>
      <c r="U85" s="189"/>
    </row>
    <row r="86" spans="1:21" hidden="1" outlineLevel="1">
      <c r="A86" s="175" t="s">
        <v>7</v>
      </c>
      <c r="B86" s="265">
        <v>0</v>
      </c>
      <c r="C86" s="265">
        <v>0</v>
      </c>
      <c r="D86" s="265">
        <v>0</v>
      </c>
      <c r="E86" s="265">
        <v>0</v>
      </c>
      <c r="F86" s="266">
        <f>SUM(B86:E86)</f>
        <v>0</v>
      </c>
      <c r="G86" s="266">
        <v>0</v>
      </c>
      <c r="H86" s="265">
        <v>0</v>
      </c>
      <c r="I86" s="265">
        <v>0</v>
      </c>
      <c r="J86" s="265">
        <v>0</v>
      </c>
      <c r="K86" s="266">
        <f>SUM(G86:J86)</f>
        <v>0</v>
      </c>
      <c r="L86" s="266">
        <v>0</v>
      </c>
      <c r="M86" s="265">
        <v>0</v>
      </c>
      <c r="N86" s="265">
        <v>0</v>
      </c>
      <c r="O86" s="265">
        <v>0</v>
      </c>
      <c r="P86" s="266">
        <f>SUM(L86:O86)</f>
        <v>0</v>
      </c>
      <c r="Q86" s="266">
        <v>0</v>
      </c>
      <c r="R86" s="265">
        <v>0</v>
      </c>
      <c r="S86" s="191"/>
      <c r="T86" s="191"/>
      <c r="U86" s="266">
        <f>SUM(Q86:T86)</f>
        <v>0</v>
      </c>
    </row>
    <row r="87" spans="1:21" ht="3.75" hidden="1" customHeight="1" outlineLevel="1">
      <c r="A87" s="175"/>
      <c r="B87" s="84"/>
      <c r="C87" s="84"/>
      <c r="D87" s="84"/>
      <c r="E87" s="84"/>
      <c r="F87" s="266"/>
      <c r="G87" s="189"/>
      <c r="H87" s="84"/>
      <c r="I87" s="84"/>
      <c r="J87" s="84"/>
      <c r="K87" s="189"/>
      <c r="L87" s="189"/>
      <c r="M87" s="84"/>
      <c r="N87" s="84"/>
      <c r="O87" s="84"/>
      <c r="P87" s="189"/>
      <c r="Q87" s="189"/>
      <c r="R87" s="84"/>
      <c r="S87" s="191"/>
      <c r="T87" s="191"/>
      <c r="U87" s="189"/>
    </row>
    <row r="88" spans="1:21" collapsed="1">
      <c r="A88" s="175" t="s">
        <v>8</v>
      </c>
      <c r="B88" s="84">
        <v>5.1824038218803992</v>
      </c>
      <c r="C88" s="84">
        <v>20.383826252196627</v>
      </c>
      <c r="D88" s="84">
        <v>18.589496710576213</v>
      </c>
      <c r="E88" s="84">
        <v>35.71521541490867</v>
      </c>
      <c r="F88" s="266">
        <v>79.870942199563046</v>
      </c>
      <c r="G88" s="189">
        <v>10.809911237168905</v>
      </c>
      <c r="H88" s="84">
        <v>25.872257408873566</v>
      </c>
      <c r="I88" s="84">
        <v>29.54299349151114</v>
      </c>
      <c r="J88" s="84">
        <v>17.74795823923273</v>
      </c>
      <c r="K88" s="189">
        <v>83.973120376790348</v>
      </c>
      <c r="L88" s="189">
        <v>6.5933711549839131</v>
      </c>
      <c r="M88" s="84">
        <v>16.409719567043908</v>
      </c>
      <c r="N88" s="84">
        <v>22.492196765211986</v>
      </c>
      <c r="O88" s="84">
        <v>62.68828826593068</v>
      </c>
      <c r="P88" s="189">
        <v>108.18357575317532</v>
      </c>
      <c r="Q88" s="189">
        <v>15.7</v>
      </c>
      <c r="R88" s="84">
        <v>38.543553181241521</v>
      </c>
      <c r="S88" s="191">
        <f>+S79-S84</f>
        <v>38.299999999999955</v>
      </c>
      <c r="T88" s="191">
        <v>64.2</v>
      </c>
      <c r="U88" s="189">
        <f>SUM(Q88:T88)</f>
        <v>156.74355318124148</v>
      </c>
    </row>
    <row r="89" spans="1:21" ht="3.75" customHeight="1">
      <c r="A89" s="168"/>
      <c r="B89" s="84"/>
      <c r="C89" s="84"/>
      <c r="D89" s="84"/>
      <c r="E89" s="84"/>
      <c r="F89" s="266"/>
      <c r="G89" s="189"/>
      <c r="H89" s="84"/>
      <c r="I89" s="84"/>
      <c r="J89" s="84"/>
      <c r="K89" s="189"/>
      <c r="L89" s="189"/>
      <c r="M89" s="84"/>
      <c r="N89" s="84"/>
      <c r="O89" s="84"/>
      <c r="P89" s="189"/>
      <c r="Q89" s="189"/>
      <c r="R89" s="84"/>
      <c r="S89" s="191"/>
      <c r="T89" s="191"/>
      <c r="U89" s="189"/>
    </row>
    <row r="90" spans="1:21">
      <c r="A90" s="175" t="s">
        <v>170</v>
      </c>
      <c r="B90" s="265">
        <v>0</v>
      </c>
      <c r="C90" s="265">
        <v>0</v>
      </c>
      <c r="D90" s="265">
        <v>0</v>
      </c>
      <c r="E90" s="265">
        <v>0</v>
      </c>
      <c r="F90" s="266">
        <v>0</v>
      </c>
      <c r="G90" s="266">
        <v>0</v>
      </c>
      <c r="H90" s="265">
        <v>0</v>
      </c>
      <c r="I90" s="265">
        <v>0</v>
      </c>
      <c r="J90" s="265">
        <v>0</v>
      </c>
      <c r="K90" s="266">
        <v>8.2834770113368303E-2</v>
      </c>
      <c r="L90" s="266">
        <v>0</v>
      </c>
      <c r="M90" s="265">
        <v>0</v>
      </c>
      <c r="N90" s="265">
        <v>0.10207834020058999</v>
      </c>
      <c r="O90" s="265">
        <v>8.0920284230383596E-2</v>
      </c>
      <c r="P90" s="266">
        <v>0.222883322785531</v>
      </c>
      <c r="Q90" s="266">
        <v>6.9209156639637989E-2</v>
      </c>
      <c r="R90" s="265">
        <v>0</v>
      </c>
      <c r="S90" s="191">
        <v>0.1</v>
      </c>
      <c r="T90" s="191">
        <v>0.3</v>
      </c>
      <c r="U90" s="266">
        <f>+Q90+R90+S90+T90</f>
        <v>0.46920915663963797</v>
      </c>
    </row>
    <row r="91" spans="1:21">
      <c r="A91" s="175" t="s">
        <v>160</v>
      </c>
      <c r="B91" s="265">
        <v>0</v>
      </c>
      <c r="C91" s="265">
        <v>0</v>
      </c>
      <c r="D91" s="265">
        <v>0</v>
      </c>
      <c r="E91" s="265">
        <v>0</v>
      </c>
      <c r="F91" s="266">
        <v>0</v>
      </c>
      <c r="G91" s="266">
        <v>0</v>
      </c>
      <c r="H91" s="265">
        <v>0</v>
      </c>
      <c r="I91" s="265">
        <v>0</v>
      </c>
      <c r="J91" s="265">
        <v>-7.1599627246480696E-2</v>
      </c>
      <c r="K91" s="266">
        <v>-7.1599627246480696E-2</v>
      </c>
      <c r="L91" s="266">
        <v>0</v>
      </c>
      <c r="M91" s="265">
        <v>0</v>
      </c>
      <c r="N91" s="265">
        <v>0</v>
      </c>
      <c r="O91" s="265">
        <v>0</v>
      </c>
      <c r="P91" s="266">
        <v>0</v>
      </c>
      <c r="Q91" s="266">
        <v>0</v>
      </c>
      <c r="R91" s="265">
        <v>0</v>
      </c>
      <c r="S91" s="191">
        <v>0</v>
      </c>
      <c r="T91" s="191">
        <v>0</v>
      </c>
      <c r="U91" s="266">
        <f>+Q91+R91+S91+T91</f>
        <v>0</v>
      </c>
    </row>
    <row r="92" spans="1:21">
      <c r="A92" s="168" t="s">
        <v>180</v>
      </c>
      <c r="B92" s="265">
        <v>0</v>
      </c>
      <c r="C92" s="265">
        <v>0</v>
      </c>
      <c r="D92" s="265">
        <v>0</v>
      </c>
      <c r="E92" s="265">
        <v>0</v>
      </c>
      <c r="F92" s="266">
        <v>0</v>
      </c>
      <c r="G92" s="266">
        <v>0</v>
      </c>
      <c r="H92" s="265">
        <v>0</v>
      </c>
      <c r="I92" s="265">
        <v>0</v>
      </c>
      <c r="J92" s="265">
        <v>0.19128272080733302</v>
      </c>
      <c r="K92" s="266">
        <v>0.19128272080733302</v>
      </c>
      <c r="L92" s="266">
        <v>6.4797666165310602E-2</v>
      </c>
      <c r="M92" s="265">
        <v>9.8027575147621407E-2</v>
      </c>
      <c r="N92" s="265">
        <v>0</v>
      </c>
      <c r="O92" s="265">
        <v>-0.12309723005072901</v>
      </c>
      <c r="P92" s="266">
        <v>8.4635185365353999E-2</v>
      </c>
      <c r="Q92" s="266">
        <v>0</v>
      </c>
      <c r="R92" s="265">
        <v>0</v>
      </c>
      <c r="S92" s="191">
        <v>0</v>
      </c>
      <c r="T92" s="191">
        <v>0</v>
      </c>
      <c r="U92" s="266">
        <v>0</v>
      </c>
    </row>
    <row r="93" spans="1:21" ht="3" customHeight="1">
      <c r="A93" s="168"/>
      <c r="B93" s="84"/>
      <c r="C93" s="84"/>
      <c r="D93" s="84"/>
      <c r="E93" s="84"/>
      <c r="F93" s="266"/>
      <c r="G93" s="189"/>
      <c r="H93" s="84"/>
      <c r="I93" s="84"/>
      <c r="J93" s="84"/>
      <c r="K93" s="189"/>
      <c r="L93" s="189"/>
      <c r="M93" s="84"/>
      <c r="N93" s="84"/>
      <c r="O93" s="84"/>
      <c r="P93" s="189"/>
      <c r="Q93" s="189"/>
      <c r="R93" s="84"/>
      <c r="S93" s="191"/>
      <c r="T93" s="191"/>
      <c r="U93" s="189"/>
    </row>
    <row r="94" spans="1:21" s="19" customFormat="1">
      <c r="A94" s="363" t="s">
        <v>178</v>
      </c>
      <c r="B94" s="80">
        <v>3.0686063843541098</v>
      </c>
      <c r="C94" s="80">
        <v>3.3707137672240703</v>
      </c>
      <c r="D94" s="80">
        <v>4.1779042646352798</v>
      </c>
      <c r="E94" s="80">
        <v>4.0440790466434198</v>
      </c>
      <c r="F94" s="190">
        <v>14.6613034628569</v>
      </c>
      <c r="G94" s="190">
        <v>3.8538946985888902</v>
      </c>
      <c r="H94" s="80">
        <v>3.7900760127925599</v>
      </c>
      <c r="I94" s="80">
        <v>3.7347036135127198</v>
      </c>
      <c r="J94" s="80">
        <v>4.2305983720604896</v>
      </c>
      <c r="K94" s="190">
        <v>15.609272696954699</v>
      </c>
      <c r="L94" s="190">
        <v>4.1827363742203003</v>
      </c>
      <c r="M94" s="80">
        <v>4.2990570329908104</v>
      </c>
      <c r="N94" s="80">
        <v>4.4815512845336407</v>
      </c>
      <c r="O94" s="80">
        <v>4.8463830851898297</v>
      </c>
      <c r="P94" s="190">
        <v>17.809727776934601</v>
      </c>
      <c r="Q94" s="190">
        <v>4.3144699212345303</v>
      </c>
      <c r="R94" s="80">
        <v>4.3887268082067497</v>
      </c>
      <c r="S94" s="250">
        <f>+S83</f>
        <v>4.5999999999999996</v>
      </c>
      <c r="T94" s="250">
        <f>+T83</f>
        <v>4.9000000000000004</v>
      </c>
      <c r="U94" s="190">
        <f>+Q94+R94+S94+T94</f>
        <v>18.203196729441281</v>
      </c>
    </row>
    <row r="95" spans="1:21">
      <c r="A95" s="364" t="s">
        <v>18</v>
      </c>
      <c r="B95" s="269">
        <f t="shared" ref="B95:S95" si="35">+B88+B90+B91-B92+B94</f>
        <v>8.2510102062345094</v>
      </c>
      <c r="C95" s="269">
        <f t="shared" si="35"/>
        <v>23.754540019420698</v>
      </c>
      <c r="D95" s="269">
        <f t="shared" si="35"/>
        <v>22.767400975211494</v>
      </c>
      <c r="E95" s="269">
        <f t="shared" si="35"/>
        <v>39.759294461552088</v>
      </c>
      <c r="F95" s="270">
        <f t="shared" si="35"/>
        <v>94.532245662419939</v>
      </c>
      <c r="G95" s="270">
        <f t="shared" si="35"/>
        <v>14.663805935757795</v>
      </c>
      <c r="H95" s="269">
        <f t="shared" si="35"/>
        <v>29.662333421666126</v>
      </c>
      <c r="I95" s="269">
        <f t="shared" si="35"/>
        <v>33.277697105023861</v>
      </c>
      <c r="J95" s="269">
        <f t="shared" si="35"/>
        <v>21.715674263239407</v>
      </c>
      <c r="K95" s="270">
        <f t="shared" si="35"/>
        <v>99.402345495804596</v>
      </c>
      <c r="L95" s="270">
        <f t="shared" si="35"/>
        <v>10.711309863038903</v>
      </c>
      <c r="M95" s="269">
        <f t="shared" si="35"/>
        <v>20.610749024887095</v>
      </c>
      <c r="N95" s="269">
        <f t="shared" si="35"/>
        <v>27.075826389946215</v>
      </c>
      <c r="O95" s="269">
        <f t="shared" si="35"/>
        <v>67.738688865401627</v>
      </c>
      <c r="P95" s="270">
        <f t="shared" si="35"/>
        <v>126.13155166753009</v>
      </c>
      <c r="Q95" s="270">
        <f t="shared" si="35"/>
        <v>20.083679077874166</v>
      </c>
      <c r="R95" s="269">
        <f t="shared" si="35"/>
        <v>42.932279989448269</v>
      </c>
      <c r="S95" s="261">
        <f t="shared" si="35"/>
        <v>42.999999999999957</v>
      </c>
      <c r="T95" s="261">
        <f t="shared" ref="T95:U95" si="36">+T88+T90+T91-T92+T94</f>
        <v>69.400000000000006</v>
      </c>
      <c r="U95" s="260">
        <f t="shared" si="36"/>
        <v>175.4159590673224</v>
      </c>
    </row>
    <row r="96" spans="1:21">
      <c r="A96" s="168" t="s">
        <v>224</v>
      </c>
      <c r="B96" s="84">
        <v>0</v>
      </c>
      <c r="C96" s="84">
        <v>0</v>
      </c>
      <c r="D96" s="84">
        <v>0</v>
      </c>
      <c r="E96" s="84">
        <v>0</v>
      </c>
      <c r="F96" s="189">
        <v>0</v>
      </c>
      <c r="G96" s="189">
        <v>0</v>
      </c>
      <c r="H96" s="84">
        <v>0.58051936088829947</v>
      </c>
      <c r="I96" s="84">
        <v>1.4722922799204952</v>
      </c>
      <c r="J96" s="84">
        <v>16.102181759690403</v>
      </c>
      <c r="K96" s="189">
        <v>18.15499340049891</v>
      </c>
      <c r="L96" s="189">
        <v>2.1364565574768015</v>
      </c>
      <c r="M96" s="84">
        <v>7.6044404151582974</v>
      </c>
      <c r="N96" s="84">
        <v>4.4365294211615023</v>
      </c>
      <c r="O96" s="84">
        <v>1.6026858547590166</v>
      </c>
      <c r="P96" s="189">
        <v>15.780112248555</v>
      </c>
      <c r="Q96" s="189">
        <v>0.13187094318990233</v>
      </c>
      <c r="R96" s="84">
        <v>0.28647223331810068</v>
      </c>
      <c r="S96" s="191">
        <v>0</v>
      </c>
      <c r="T96" s="191">
        <v>0</v>
      </c>
      <c r="U96" s="186">
        <f>+Q96+R96+S96+T96</f>
        <v>0.41834317650800301</v>
      </c>
    </row>
    <row r="97" spans="1:21">
      <c r="A97" s="364" t="s">
        <v>17</v>
      </c>
      <c r="B97" s="269">
        <f t="shared" ref="B97:S97" si="37">+B95+B96</f>
        <v>8.2510102062345094</v>
      </c>
      <c r="C97" s="269">
        <f t="shared" si="37"/>
        <v>23.754540019420698</v>
      </c>
      <c r="D97" s="269">
        <f t="shared" si="37"/>
        <v>22.767400975211494</v>
      </c>
      <c r="E97" s="269">
        <f t="shared" si="37"/>
        <v>39.759294461552088</v>
      </c>
      <c r="F97" s="270">
        <f t="shared" si="37"/>
        <v>94.532245662419939</v>
      </c>
      <c r="G97" s="270">
        <f t="shared" si="37"/>
        <v>14.663805935757795</v>
      </c>
      <c r="H97" s="269">
        <f t="shared" si="37"/>
        <v>30.242852782554426</v>
      </c>
      <c r="I97" s="269">
        <f t="shared" si="37"/>
        <v>34.749989384944357</v>
      </c>
      <c r="J97" s="269">
        <f t="shared" si="37"/>
        <v>37.81785602292981</v>
      </c>
      <c r="K97" s="270">
        <f t="shared" si="37"/>
        <v>117.55733889630351</v>
      </c>
      <c r="L97" s="270">
        <f t="shared" si="37"/>
        <v>12.847766420515704</v>
      </c>
      <c r="M97" s="269">
        <f t="shared" si="37"/>
        <v>28.215189440045393</v>
      </c>
      <c r="N97" s="269">
        <f t="shared" si="37"/>
        <v>31.512355811107717</v>
      </c>
      <c r="O97" s="269">
        <f t="shared" si="37"/>
        <v>69.341374720160644</v>
      </c>
      <c r="P97" s="270">
        <f t="shared" si="37"/>
        <v>141.9116639160851</v>
      </c>
      <c r="Q97" s="270">
        <f t="shared" si="37"/>
        <v>20.215550021064068</v>
      </c>
      <c r="R97" s="269">
        <f t="shared" si="37"/>
        <v>43.218752222766369</v>
      </c>
      <c r="S97" s="261">
        <f t="shared" si="37"/>
        <v>42.999999999999957</v>
      </c>
      <c r="T97" s="261">
        <f t="shared" ref="T97:U97" si="38">+T95+T96</f>
        <v>69.400000000000006</v>
      </c>
      <c r="U97" s="260">
        <f t="shared" si="38"/>
        <v>175.83430224383039</v>
      </c>
    </row>
    <row r="98" spans="1:21">
      <c r="A98" s="168" t="s">
        <v>181</v>
      </c>
      <c r="B98" s="262">
        <f t="shared" ref="B98:S98" si="39">+B97/B77</f>
        <v>5.3670174334747259E-2</v>
      </c>
      <c r="C98" s="262">
        <f t="shared" si="39"/>
        <v>0.12249960084524014</v>
      </c>
      <c r="D98" s="262">
        <f t="shared" si="39"/>
        <v>0.11073770362348551</v>
      </c>
      <c r="E98" s="262">
        <f t="shared" si="39"/>
        <v>0.17463013903765209</v>
      </c>
      <c r="F98" s="263">
        <f t="shared" si="39"/>
        <v>0.121051563154513</v>
      </c>
      <c r="G98" s="263">
        <f t="shared" si="39"/>
        <v>9.6613297087561154E-2</v>
      </c>
      <c r="H98" s="262">
        <f t="shared" si="39"/>
        <v>0.1503784575303912</v>
      </c>
      <c r="I98" s="262">
        <f t="shared" si="39"/>
        <v>0.16052680825110366</v>
      </c>
      <c r="J98" s="262">
        <f t="shared" si="39"/>
        <v>0.14421808927362587</v>
      </c>
      <c r="K98" s="263">
        <f t="shared" si="39"/>
        <v>0.14136428977423829</v>
      </c>
      <c r="L98" s="263">
        <f t="shared" si="39"/>
        <v>6.6760042701831598E-2</v>
      </c>
      <c r="M98" s="262">
        <f t="shared" si="39"/>
        <v>0.12245277350072227</v>
      </c>
      <c r="N98" s="262">
        <f t="shared" si="39"/>
        <v>0.13109379691586306</v>
      </c>
      <c r="O98" s="262">
        <f t="shared" si="39"/>
        <v>0.21456723036225248</v>
      </c>
      <c r="P98" s="263">
        <f t="shared" si="39"/>
        <v>0.14386643502476842</v>
      </c>
      <c r="Q98" s="263">
        <f t="shared" si="39"/>
        <v>9.5627010506452545E-2</v>
      </c>
      <c r="R98" s="262">
        <f t="shared" si="39"/>
        <v>0.15981775950636512</v>
      </c>
      <c r="S98" s="264">
        <f t="shared" si="39"/>
        <v>0.15077138849929858</v>
      </c>
      <c r="T98" s="264">
        <f t="shared" ref="T98:U98" si="40">+T97/T77</f>
        <v>0.19862621637092162</v>
      </c>
      <c r="U98" s="263">
        <f t="shared" si="40"/>
        <v>0.15749760900911156</v>
      </c>
    </row>
    <row r="99" spans="1:21">
      <c r="A99" s="168"/>
      <c r="B99" s="167"/>
      <c r="C99" s="374"/>
      <c r="D99" s="374"/>
      <c r="E99" s="374"/>
      <c r="F99" s="375"/>
      <c r="G99" s="375"/>
      <c r="H99" s="374"/>
      <c r="I99" s="374"/>
      <c r="J99" s="374"/>
      <c r="K99" s="375"/>
      <c r="L99" s="375"/>
      <c r="M99" s="374"/>
      <c r="N99" s="374"/>
      <c r="O99" s="374"/>
      <c r="P99" s="375"/>
      <c r="Q99" s="375"/>
      <c r="R99" s="374"/>
      <c r="S99" s="76"/>
      <c r="T99" s="76"/>
      <c r="U99" s="375"/>
    </row>
    <row r="100" spans="1:21" s="421" customFormat="1">
      <c r="A100" s="454" t="s">
        <v>229</v>
      </c>
      <c r="B100" s="455"/>
      <c r="C100" s="456"/>
      <c r="D100" s="456"/>
      <c r="E100" s="456"/>
      <c r="F100" s="457"/>
      <c r="G100" s="457"/>
      <c r="H100" s="456"/>
      <c r="I100" s="456"/>
      <c r="J100" s="456"/>
      <c r="K100" s="457"/>
      <c r="L100" s="457"/>
      <c r="M100" s="456"/>
      <c r="N100" s="456"/>
      <c r="O100" s="456"/>
      <c r="P100" s="457"/>
      <c r="Q100" s="457"/>
      <c r="R100" s="456"/>
      <c r="S100" s="417"/>
      <c r="T100" s="417"/>
      <c r="U100" s="457"/>
    </row>
    <row r="101" spans="1:21" hidden="1" outlineLevel="1">
      <c r="A101" s="168" t="s">
        <v>0</v>
      </c>
      <c r="B101" s="271">
        <v>112.46338646359999</v>
      </c>
      <c r="C101" s="271">
        <v>126.313261244674</v>
      </c>
      <c r="D101" s="271">
        <v>105.012517366821</v>
      </c>
      <c r="E101" s="271">
        <v>125.15156109198099</v>
      </c>
      <c r="F101" s="272">
        <v>468.94072616707598</v>
      </c>
      <c r="G101" s="272">
        <v>110.22434052062</v>
      </c>
      <c r="H101" s="271">
        <v>94.052811483200799</v>
      </c>
      <c r="I101" s="271">
        <v>114.093836106835</v>
      </c>
      <c r="J101" s="271">
        <v>142.329082016071</v>
      </c>
      <c r="K101" s="272">
        <v>460.70007012672698</v>
      </c>
      <c r="L101" s="272">
        <v>90.380202532425898</v>
      </c>
      <c r="M101" s="271">
        <v>95.737113510353993</v>
      </c>
      <c r="N101" s="271">
        <v>91.806877314652795</v>
      </c>
      <c r="O101" s="271">
        <v>91.875816022939105</v>
      </c>
      <c r="P101" s="272">
        <v>369.80000938037199</v>
      </c>
      <c r="Q101" s="272">
        <v>89.565805438427304</v>
      </c>
      <c r="R101" s="271">
        <v>92.763247076573506</v>
      </c>
      <c r="S101" s="76"/>
      <c r="T101" s="76"/>
      <c r="U101" s="272">
        <v>369.80000938037199</v>
      </c>
    </row>
    <row r="102" spans="1:21" hidden="1" outlineLevel="1">
      <c r="A102" s="168" t="s">
        <v>1</v>
      </c>
      <c r="B102" s="81">
        <v>0</v>
      </c>
      <c r="C102" s="81">
        <v>0</v>
      </c>
      <c r="D102" s="81">
        <v>0</v>
      </c>
      <c r="E102" s="81">
        <v>0</v>
      </c>
      <c r="F102" s="273">
        <v>0</v>
      </c>
      <c r="G102" s="273">
        <v>0</v>
      </c>
      <c r="H102" s="81">
        <v>0</v>
      </c>
      <c r="I102" s="81">
        <v>0</v>
      </c>
      <c r="J102" s="81">
        <v>0</v>
      </c>
      <c r="K102" s="273">
        <v>0</v>
      </c>
      <c r="L102" s="273">
        <v>0</v>
      </c>
      <c r="M102" s="81">
        <v>0</v>
      </c>
      <c r="N102" s="81">
        <v>0</v>
      </c>
      <c r="O102" s="81">
        <v>0</v>
      </c>
      <c r="P102" s="273">
        <v>0</v>
      </c>
      <c r="Q102" s="273">
        <v>0</v>
      </c>
      <c r="R102" s="81">
        <v>0</v>
      </c>
      <c r="S102" s="76"/>
      <c r="T102" s="76"/>
      <c r="U102" s="273">
        <v>0</v>
      </c>
    </row>
    <row r="103" spans="1:21" collapsed="1">
      <c r="A103" s="364" t="s">
        <v>152</v>
      </c>
      <c r="B103" s="259">
        <v>112.46338646359999</v>
      </c>
      <c r="C103" s="259">
        <v>126.313261244674</v>
      </c>
      <c r="D103" s="259">
        <v>105.012517366821</v>
      </c>
      <c r="E103" s="259">
        <v>125.15156109198099</v>
      </c>
      <c r="F103" s="260">
        <v>468.94072616707598</v>
      </c>
      <c r="G103" s="260">
        <v>110.22434052062</v>
      </c>
      <c r="H103" s="259">
        <v>94.052811483200799</v>
      </c>
      <c r="I103" s="259">
        <v>114.093836106835</v>
      </c>
      <c r="J103" s="259">
        <v>142.329082016071</v>
      </c>
      <c r="K103" s="260">
        <v>460.70007012672698</v>
      </c>
      <c r="L103" s="260">
        <v>90.380202532425898</v>
      </c>
      <c r="M103" s="259">
        <v>95.737113510353993</v>
      </c>
      <c r="N103" s="259">
        <v>91.806877314652795</v>
      </c>
      <c r="O103" s="259">
        <v>91.875816022939105</v>
      </c>
      <c r="P103" s="260">
        <v>369.80000938037199</v>
      </c>
      <c r="Q103" s="260">
        <v>89.565805438427304</v>
      </c>
      <c r="R103" s="259">
        <v>92.763247076573506</v>
      </c>
      <c r="S103" s="261">
        <v>92.1</v>
      </c>
      <c r="T103" s="261">
        <v>103.2</v>
      </c>
      <c r="U103" s="260">
        <f>+Q103+R103+S103+T103</f>
        <v>377.62905251500075</v>
      </c>
    </row>
    <row r="104" spans="1:21">
      <c r="A104" s="168"/>
      <c r="B104" s="174"/>
      <c r="C104" s="174"/>
      <c r="D104" s="174"/>
      <c r="E104" s="174"/>
      <c r="F104" s="186"/>
      <c r="G104" s="186"/>
      <c r="H104" s="174"/>
      <c r="I104" s="174"/>
      <c r="J104" s="174"/>
      <c r="K104" s="186"/>
      <c r="L104" s="186"/>
      <c r="M104" s="174"/>
      <c r="N104" s="174"/>
      <c r="O104" s="174"/>
      <c r="P104" s="186"/>
      <c r="Q104" s="186"/>
      <c r="R104" s="174"/>
      <c r="S104" s="191"/>
      <c r="T104" s="191"/>
      <c r="U104" s="186"/>
    </row>
    <row r="105" spans="1:21">
      <c r="A105" s="168" t="s">
        <v>168</v>
      </c>
      <c r="B105" s="255">
        <v>84.999334870835497</v>
      </c>
      <c r="C105" s="255">
        <v>93.95822538472369</v>
      </c>
      <c r="D105" s="255">
        <v>81.739536793659809</v>
      </c>
      <c r="E105" s="255">
        <v>114.274638085334</v>
      </c>
      <c r="F105" s="256">
        <v>374.971735134553</v>
      </c>
      <c r="G105" s="256">
        <v>70.753731462371007</v>
      </c>
      <c r="H105" s="255">
        <v>77.689059379524195</v>
      </c>
      <c r="I105" s="255">
        <v>81.058025897649088</v>
      </c>
      <c r="J105" s="255">
        <v>118.47320525103099</v>
      </c>
      <c r="K105" s="256">
        <v>347.97402199057501</v>
      </c>
      <c r="L105" s="256">
        <v>72.3900623367836</v>
      </c>
      <c r="M105" s="255">
        <v>73.577875207759391</v>
      </c>
      <c r="N105" s="255">
        <v>86.4922935316295</v>
      </c>
      <c r="O105" s="255">
        <v>64.734286940903203</v>
      </c>
      <c r="P105" s="256">
        <v>297.19451801707601</v>
      </c>
      <c r="Q105" s="256">
        <v>51.5</v>
      </c>
      <c r="R105" s="255">
        <v>71.307825295025793</v>
      </c>
      <c r="S105" s="191">
        <v>76.3</v>
      </c>
      <c r="T105" s="191">
        <v>86.7</v>
      </c>
      <c r="U105" s="256">
        <f>+Q105+R105+S105+T105</f>
        <v>285.80782529502579</v>
      </c>
    </row>
    <row r="106" spans="1:21" s="19" customFormat="1">
      <c r="A106" s="363" t="s">
        <v>169</v>
      </c>
      <c r="B106" s="257">
        <v>9.3662370185435311</v>
      </c>
      <c r="C106" s="257">
        <v>8.4510190895326698</v>
      </c>
      <c r="D106" s="257">
        <v>7.4859185008352105</v>
      </c>
      <c r="E106" s="257">
        <v>7.4985643073829999</v>
      </c>
      <c r="F106" s="258">
        <v>32.801738916294397</v>
      </c>
      <c r="G106" s="258">
        <v>7.61028431977405</v>
      </c>
      <c r="H106" s="257">
        <v>7.0614544811496502</v>
      </c>
      <c r="I106" s="257">
        <v>8.4235380838017413</v>
      </c>
      <c r="J106" s="257">
        <v>5.9247333683986092</v>
      </c>
      <c r="K106" s="258">
        <v>29.020010253124099</v>
      </c>
      <c r="L106" s="258">
        <v>6.6200589161524297</v>
      </c>
      <c r="M106" s="257">
        <v>5.8169593821707197</v>
      </c>
      <c r="N106" s="257">
        <v>5.6729290645853006</v>
      </c>
      <c r="O106" s="257">
        <v>7.8002749455700702</v>
      </c>
      <c r="P106" s="258">
        <v>25.910222308478502</v>
      </c>
      <c r="Q106" s="258">
        <v>5.0387384120100798</v>
      </c>
      <c r="R106" s="257">
        <v>4.8857275765779198</v>
      </c>
      <c r="S106" s="250">
        <v>6.1</v>
      </c>
      <c r="T106" s="250">
        <v>8.1</v>
      </c>
      <c r="U106" s="258">
        <f>+Q106+R106+S106+T106</f>
        <v>24.124465988588</v>
      </c>
    </row>
    <row r="107" spans="1:21">
      <c r="A107" s="175" t="s">
        <v>6</v>
      </c>
      <c r="B107" s="174">
        <v>94.365571889379027</v>
      </c>
      <c r="C107" s="174">
        <v>102.40924447425635</v>
      </c>
      <c r="D107" s="174">
        <v>89.225455294495021</v>
      </c>
      <c r="E107" s="174">
        <v>121.77320239271701</v>
      </c>
      <c r="F107" s="186">
        <v>407.77347405084743</v>
      </c>
      <c r="G107" s="186">
        <v>78.36401578214506</v>
      </c>
      <c r="H107" s="174">
        <v>84.750513860673848</v>
      </c>
      <c r="I107" s="174">
        <v>89.481563981450833</v>
      </c>
      <c r="J107" s="174">
        <v>124.3979386194296</v>
      </c>
      <c r="K107" s="186">
        <v>376.99403224369911</v>
      </c>
      <c r="L107" s="186">
        <v>79.010121252936031</v>
      </c>
      <c r="M107" s="174">
        <v>79.394834589930113</v>
      </c>
      <c r="N107" s="174">
        <v>92.165222596214804</v>
      </c>
      <c r="O107" s="174">
        <v>72.53456188647327</v>
      </c>
      <c r="P107" s="186">
        <v>323.10474032555453</v>
      </c>
      <c r="Q107" s="186">
        <f>+Q105+Q106</f>
        <v>56.538738412010076</v>
      </c>
      <c r="R107" s="174">
        <v>76.193552871603714</v>
      </c>
      <c r="S107" s="191">
        <f>+S105+S106</f>
        <v>82.399999999999991</v>
      </c>
      <c r="T107" s="191">
        <f>+T105+T106</f>
        <v>94.8</v>
      </c>
      <c r="U107" s="186">
        <f>+U105+U106</f>
        <v>309.93229128361378</v>
      </c>
    </row>
    <row r="108" spans="1:21" ht="3.75" customHeight="1">
      <c r="A108" s="168"/>
      <c r="B108" s="174"/>
      <c r="C108" s="174"/>
      <c r="D108" s="174"/>
      <c r="E108" s="174"/>
      <c r="F108" s="186"/>
      <c r="G108" s="186"/>
      <c r="H108" s="174"/>
      <c r="I108" s="174"/>
      <c r="J108" s="174"/>
      <c r="K108" s="186"/>
      <c r="L108" s="186"/>
      <c r="M108" s="174"/>
      <c r="N108" s="174"/>
      <c r="O108" s="174"/>
      <c r="P108" s="186"/>
      <c r="Q108" s="186"/>
      <c r="R108" s="174"/>
      <c r="S108" s="191"/>
      <c r="T108" s="191"/>
      <c r="U108" s="186"/>
    </row>
    <row r="109" spans="1:21">
      <c r="A109" s="168" t="s">
        <v>7</v>
      </c>
      <c r="B109" s="255">
        <v>0</v>
      </c>
      <c r="C109" s="255">
        <v>23.028338160000001</v>
      </c>
      <c r="D109" s="255">
        <v>0</v>
      </c>
      <c r="E109" s="255">
        <v>0</v>
      </c>
      <c r="F109" s="256">
        <f>SUM(B109:E109)</f>
        <v>23.028338160000001</v>
      </c>
      <c r="G109" s="256">
        <v>0</v>
      </c>
      <c r="H109" s="255">
        <v>0</v>
      </c>
      <c r="I109" s="255">
        <v>0</v>
      </c>
      <c r="J109" s="255">
        <v>0</v>
      </c>
      <c r="K109" s="256">
        <f>SUM(G109:J109)</f>
        <v>0</v>
      </c>
      <c r="L109" s="256">
        <v>0</v>
      </c>
      <c r="M109" s="255">
        <v>0</v>
      </c>
      <c r="N109" s="255">
        <v>0</v>
      </c>
      <c r="O109" s="255">
        <v>0</v>
      </c>
      <c r="P109" s="256">
        <f>SUM(L109:O109)</f>
        <v>0</v>
      </c>
      <c r="Q109" s="256">
        <v>0</v>
      </c>
      <c r="R109" s="255">
        <v>0</v>
      </c>
      <c r="S109" s="191">
        <v>0</v>
      </c>
      <c r="T109" s="191">
        <v>0</v>
      </c>
      <c r="U109" s="256">
        <f>SUM(Q109:T109)</f>
        <v>0</v>
      </c>
    </row>
    <row r="110" spans="1:21" ht="3.75" customHeight="1">
      <c r="A110" s="168"/>
      <c r="B110" s="174"/>
      <c r="C110" s="174"/>
      <c r="D110" s="174"/>
      <c r="E110" s="174"/>
      <c r="F110" s="256">
        <f>SUM(B110:E110)</f>
        <v>0</v>
      </c>
      <c r="G110" s="186"/>
      <c r="H110" s="174"/>
      <c r="I110" s="174"/>
      <c r="J110" s="174"/>
      <c r="K110" s="186"/>
      <c r="L110" s="186"/>
      <c r="M110" s="174"/>
      <c r="N110" s="174"/>
      <c r="O110" s="174"/>
      <c r="P110" s="186"/>
      <c r="Q110" s="186"/>
      <c r="R110" s="174"/>
      <c r="S110" s="191"/>
      <c r="T110" s="191"/>
      <c r="U110" s="186"/>
    </row>
    <row r="111" spans="1:21">
      <c r="A111" s="168" t="s">
        <v>8</v>
      </c>
      <c r="B111" s="174">
        <v>18.097814574220962</v>
      </c>
      <c r="C111" s="174">
        <v>46.932354930417645</v>
      </c>
      <c r="D111" s="174">
        <v>15.78706207232598</v>
      </c>
      <c r="E111" s="174">
        <v>3.378358699263984</v>
      </c>
      <c r="F111" s="256">
        <f>SUM(B111:E111)</f>
        <v>84.195590276228572</v>
      </c>
      <c r="G111" s="186">
        <v>31.860324738474944</v>
      </c>
      <c r="H111" s="174">
        <v>9.3022976225269502</v>
      </c>
      <c r="I111" s="174">
        <v>24.612272125384166</v>
      </c>
      <c r="J111" s="174">
        <v>17.931143396641403</v>
      </c>
      <c r="K111" s="186">
        <v>83.706037883027875</v>
      </c>
      <c r="L111" s="186">
        <v>11.370081279489867</v>
      </c>
      <c r="M111" s="174">
        <v>16.34227892042388</v>
      </c>
      <c r="N111" s="174">
        <v>-0.35834528156200918</v>
      </c>
      <c r="O111" s="174">
        <v>19.341254136465835</v>
      </c>
      <c r="P111" s="186">
        <v>46.695269054817459</v>
      </c>
      <c r="Q111" s="186">
        <v>33.004865203124325</v>
      </c>
      <c r="R111" s="174">
        <v>16.569694204969792</v>
      </c>
      <c r="S111" s="191">
        <f>+S103-S107+S109</f>
        <v>9.7000000000000028</v>
      </c>
      <c r="T111" s="191">
        <f>+T103-T107+T109</f>
        <v>8.4000000000000057</v>
      </c>
      <c r="U111" s="186">
        <f>+Q111+R111+S111+T111</f>
        <v>67.674559408094126</v>
      </c>
    </row>
    <row r="112" spans="1:21" ht="4.5" customHeight="1">
      <c r="A112" s="168"/>
      <c r="B112" s="174"/>
      <c r="C112" s="174"/>
      <c r="D112" s="174"/>
      <c r="E112" s="174"/>
      <c r="F112" s="256"/>
      <c r="G112" s="186"/>
      <c r="H112" s="174"/>
      <c r="I112" s="174"/>
      <c r="J112" s="174"/>
      <c r="K112" s="186"/>
      <c r="L112" s="186"/>
      <c r="M112" s="174"/>
      <c r="N112" s="174"/>
      <c r="O112" s="174"/>
      <c r="P112" s="186"/>
      <c r="Q112" s="186"/>
      <c r="R112" s="174"/>
      <c r="S112" s="191"/>
      <c r="T112" s="191"/>
      <c r="U112" s="186"/>
    </row>
    <row r="113" spans="1:21">
      <c r="A113" s="168" t="s">
        <v>170</v>
      </c>
      <c r="B113" s="265">
        <v>-2.66656764562281</v>
      </c>
      <c r="C113" s="265">
        <v>1.58657275785491</v>
      </c>
      <c r="D113" s="265">
        <v>0.83428345476185606</v>
      </c>
      <c r="E113" s="265">
        <v>0.331436589877867</v>
      </c>
      <c r="F113" s="266">
        <v>8.5725156871821986E-2</v>
      </c>
      <c r="G113" s="266">
        <v>0.38236854194950498</v>
      </c>
      <c r="H113" s="265">
        <v>-5.7616340939929095E-2</v>
      </c>
      <c r="I113" s="265">
        <v>2.8012612463115998</v>
      </c>
      <c r="J113" s="265">
        <v>2.8459662070227001</v>
      </c>
      <c r="K113" s="266">
        <v>5.9719796543438797</v>
      </c>
      <c r="L113" s="266">
        <v>2.82393818166608</v>
      </c>
      <c r="M113" s="265">
        <v>1.9300665818720399</v>
      </c>
      <c r="N113" s="265">
        <v>1.5187137086859999</v>
      </c>
      <c r="O113" s="265">
        <v>0.97068107976759799</v>
      </c>
      <c r="P113" s="266">
        <v>7.24339955199172</v>
      </c>
      <c r="Q113" s="266">
        <v>0.9</v>
      </c>
      <c r="R113" s="265">
        <v>4.4000000000000004</v>
      </c>
      <c r="S113" s="191">
        <v>1.9</v>
      </c>
      <c r="T113" s="191">
        <v>0.7</v>
      </c>
      <c r="U113" s="266">
        <f>+Q113+R113+S113+T113</f>
        <v>7.9000000000000012</v>
      </c>
    </row>
    <row r="114" spans="1:21">
      <c r="A114" s="168" t="s">
        <v>160</v>
      </c>
      <c r="B114" s="265">
        <v>3.9733944693497403</v>
      </c>
      <c r="C114" s="265">
        <v>5.6077214720842301</v>
      </c>
      <c r="D114" s="265">
        <v>-1.67820948</v>
      </c>
      <c r="E114" s="265">
        <v>-0.14591251406172101</v>
      </c>
      <c r="F114" s="266">
        <v>7.7569939473722505</v>
      </c>
      <c r="G114" s="266">
        <v>0.165084585033973</v>
      </c>
      <c r="H114" s="265">
        <v>-1.4214595479174101</v>
      </c>
      <c r="I114" s="265">
        <v>-5.1988949500000006</v>
      </c>
      <c r="J114" s="265">
        <v>1.1483317746714501</v>
      </c>
      <c r="K114" s="266">
        <v>-5.30693813821199</v>
      </c>
      <c r="L114" s="266">
        <v>3.61934361</v>
      </c>
      <c r="M114" s="265">
        <v>3.9486810000000001</v>
      </c>
      <c r="N114" s="265">
        <v>1.07929694916605</v>
      </c>
      <c r="O114" s="265">
        <v>-3.8910525174786001</v>
      </c>
      <c r="P114" s="266">
        <v>4.7562690416874505</v>
      </c>
      <c r="Q114" s="266">
        <v>3.6892158529476298</v>
      </c>
      <c r="R114" s="265">
        <v>2.5493037750126701</v>
      </c>
      <c r="S114" s="191">
        <v>1.4</v>
      </c>
      <c r="T114" s="191">
        <v>1.8</v>
      </c>
      <c r="U114" s="266">
        <f>+Q114+R114+S114+T114</f>
        <v>9.4385196279603001</v>
      </c>
    </row>
    <row r="115" spans="1:21">
      <c r="A115" s="168" t="s">
        <v>180</v>
      </c>
      <c r="B115" s="265">
        <v>0.50778164628265399</v>
      </c>
      <c r="C115" s="265">
        <v>24.448330370293899</v>
      </c>
      <c r="D115" s="265">
        <v>1.2830077299482101</v>
      </c>
      <c r="E115" s="265">
        <v>3.3340478017030799</v>
      </c>
      <c r="F115" s="266">
        <v>29.5731675482279</v>
      </c>
      <c r="G115" s="266">
        <v>1.9733329225698599</v>
      </c>
      <c r="H115" s="265">
        <v>1.9368239480037701</v>
      </c>
      <c r="I115" s="265">
        <v>1.2408473896643601</v>
      </c>
      <c r="J115" s="265">
        <v>1.60648387520738</v>
      </c>
      <c r="K115" s="266">
        <v>6.75748813544537</v>
      </c>
      <c r="L115" s="266">
        <v>2.8974045553344201</v>
      </c>
      <c r="M115" s="265">
        <v>2.0514809172723201</v>
      </c>
      <c r="N115" s="265">
        <v>1.8580551279942601</v>
      </c>
      <c r="O115" s="265">
        <v>0.36698646000000201</v>
      </c>
      <c r="P115" s="266">
        <v>7.1739270606009997</v>
      </c>
      <c r="Q115" s="266">
        <v>1.5055151691856201</v>
      </c>
      <c r="R115" s="265">
        <v>1.73882308</v>
      </c>
      <c r="S115" s="191">
        <v>1</v>
      </c>
      <c r="T115" s="191">
        <v>2</v>
      </c>
      <c r="U115" s="266">
        <f>+Q115+R115+S115+T115</f>
        <v>6.2443382491856205</v>
      </c>
    </row>
    <row r="116" spans="1:21" ht="2.25" customHeight="1">
      <c r="A116" s="168"/>
      <c r="B116" s="174"/>
      <c r="C116" s="174"/>
      <c r="D116" s="174"/>
      <c r="E116" s="174"/>
      <c r="F116" s="186"/>
      <c r="G116" s="186"/>
      <c r="H116" s="174"/>
      <c r="I116" s="174"/>
      <c r="J116" s="174"/>
      <c r="K116" s="186"/>
      <c r="L116" s="186"/>
      <c r="M116" s="174"/>
      <c r="N116" s="174"/>
      <c r="O116" s="174"/>
      <c r="P116" s="186"/>
      <c r="Q116" s="186"/>
      <c r="R116" s="174"/>
      <c r="S116" s="191"/>
      <c r="T116" s="191"/>
      <c r="U116" s="186"/>
    </row>
    <row r="117" spans="1:21" s="19" customFormat="1">
      <c r="A117" s="363" t="s">
        <v>178</v>
      </c>
      <c r="B117" s="164">
        <v>9.3662370185435311</v>
      </c>
      <c r="C117" s="164">
        <v>8.4510190895326698</v>
      </c>
      <c r="D117" s="164">
        <v>7.4859185008352105</v>
      </c>
      <c r="E117" s="164">
        <v>7.4985643073829999</v>
      </c>
      <c r="F117" s="187">
        <v>32.801738916294397</v>
      </c>
      <c r="G117" s="187">
        <v>7.61028431977405</v>
      </c>
      <c r="H117" s="164">
        <v>7.0614544811496502</v>
      </c>
      <c r="I117" s="164">
        <v>8.4235380838017413</v>
      </c>
      <c r="J117" s="164">
        <v>5.9247333683986092</v>
      </c>
      <c r="K117" s="187">
        <v>29.020010253124099</v>
      </c>
      <c r="L117" s="187">
        <v>6.6200589161524297</v>
      </c>
      <c r="M117" s="164">
        <v>5.8169593821707197</v>
      </c>
      <c r="N117" s="164">
        <v>5.6729290645853006</v>
      </c>
      <c r="O117" s="164">
        <v>7.8002749455700702</v>
      </c>
      <c r="P117" s="187">
        <v>25.910222308478502</v>
      </c>
      <c r="Q117" s="187">
        <v>5.0387384120100798</v>
      </c>
      <c r="R117" s="164">
        <v>4.8857275765779198</v>
      </c>
      <c r="S117" s="250">
        <f>+S106</f>
        <v>6.1</v>
      </c>
      <c r="T117" s="250">
        <f>+T106</f>
        <v>8.1</v>
      </c>
      <c r="U117" s="187">
        <f>+Q117+R117+S117+T117</f>
        <v>24.124465988588</v>
      </c>
    </row>
    <row r="118" spans="1:21">
      <c r="A118" s="364" t="s">
        <v>18</v>
      </c>
      <c r="B118" s="259">
        <f t="shared" ref="B118:S118" si="41">+B111+B113+B114-B115+B117</f>
        <v>28.263096770208769</v>
      </c>
      <c r="C118" s="259">
        <f t="shared" si="41"/>
        <v>38.129337879595553</v>
      </c>
      <c r="D118" s="259">
        <f t="shared" si="41"/>
        <v>21.146046817974838</v>
      </c>
      <c r="E118" s="259">
        <f t="shared" si="41"/>
        <v>7.7283992807600503</v>
      </c>
      <c r="F118" s="260">
        <f t="shared" si="41"/>
        <v>95.266880748539137</v>
      </c>
      <c r="G118" s="260">
        <f t="shared" si="41"/>
        <v>38.044729262662614</v>
      </c>
      <c r="H118" s="259">
        <f t="shared" si="41"/>
        <v>12.947852266815492</v>
      </c>
      <c r="I118" s="259">
        <f t="shared" si="41"/>
        <v>29.397329115833148</v>
      </c>
      <c r="J118" s="259">
        <f t="shared" si="41"/>
        <v>26.24369087152678</v>
      </c>
      <c r="K118" s="260">
        <f t="shared" si="41"/>
        <v>106.6336015168385</v>
      </c>
      <c r="L118" s="260">
        <f t="shared" si="41"/>
        <v>21.536017431973956</v>
      </c>
      <c r="M118" s="259">
        <f t="shared" si="41"/>
        <v>25.986504967194318</v>
      </c>
      <c r="N118" s="259">
        <f t="shared" si="41"/>
        <v>6.0545393128810812</v>
      </c>
      <c r="O118" s="259">
        <f t="shared" si="41"/>
        <v>23.854171184324901</v>
      </c>
      <c r="P118" s="260">
        <f t="shared" si="41"/>
        <v>77.431232896374127</v>
      </c>
      <c r="Q118" s="260">
        <f t="shared" si="41"/>
        <v>41.127304298896419</v>
      </c>
      <c r="R118" s="259">
        <f t="shared" si="41"/>
        <v>26.665902476560383</v>
      </c>
      <c r="S118" s="261">
        <f t="shared" si="41"/>
        <v>18.100000000000001</v>
      </c>
      <c r="T118" s="261">
        <f t="shared" ref="T118:U118" si="42">+T111+T113+T114-T115+T117</f>
        <v>17.000000000000007</v>
      </c>
      <c r="U118" s="260">
        <f t="shared" si="42"/>
        <v>102.89320677545682</v>
      </c>
    </row>
    <row r="119" spans="1:21">
      <c r="A119" s="168" t="s">
        <v>224</v>
      </c>
      <c r="B119" s="174">
        <v>1.5629999999999988</v>
      </c>
      <c r="C119" s="174">
        <v>2.5670000000001068</v>
      </c>
      <c r="D119" s="174">
        <v>-0.70400000000009655</v>
      </c>
      <c r="E119" s="174">
        <v>20.446999999999811</v>
      </c>
      <c r="F119" s="186">
        <v>23.872999999999593</v>
      </c>
      <c r="G119" s="186">
        <v>-2.7719999999999985</v>
      </c>
      <c r="H119" s="174">
        <v>2.114808</v>
      </c>
      <c r="I119" s="174">
        <v>1.1495290000000011</v>
      </c>
      <c r="J119" s="174">
        <v>27.114068708399301</v>
      </c>
      <c r="K119" s="186">
        <v>27.606405708399009</v>
      </c>
      <c r="L119" s="186">
        <v>1.3790481793420994</v>
      </c>
      <c r="M119" s="174">
        <v>0.43933022000599919</v>
      </c>
      <c r="N119" s="174">
        <v>12.933875578338819</v>
      </c>
      <c r="O119" s="174">
        <v>-9.0320260000000001</v>
      </c>
      <c r="P119" s="186">
        <v>5.7202279776868892</v>
      </c>
      <c r="Q119" s="186">
        <v>-15.241323000000097</v>
      </c>
      <c r="R119" s="174">
        <v>-2.7744750000000025</v>
      </c>
      <c r="S119" s="191">
        <v>5.0999999999999996</v>
      </c>
      <c r="T119" s="191">
        <v>4.4000000000000004</v>
      </c>
      <c r="U119" s="186">
        <f>+Q119+R119+S119+T119</f>
        <v>-8.5157980000000997</v>
      </c>
    </row>
    <row r="120" spans="1:21">
      <c r="A120" s="364" t="s">
        <v>17</v>
      </c>
      <c r="B120" s="259">
        <f t="shared" ref="B120:S120" si="43">+B118+B119</f>
        <v>29.826096770208768</v>
      </c>
      <c r="C120" s="259">
        <f t="shared" si="43"/>
        <v>40.69633787959566</v>
      </c>
      <c r="D120" s="259">
        <f t="shared" si="43"/>
        <v>20.442046817974742</v>
      </c>
      <c r="E120" s="259">
        <f t="shared" si="43"/>
        <v>28.175399280759862</v>
      </c>
      <c r="F120" s="260">
        <f t="shared" si="43"/>
        <v>119.13988074853873</v>
      </c>
      <c r="G120" s="260">
        <f t="shared" si="43"/>
        <v>35.272729262662615</v>
      </c>
      <c r="H120" s="259">
        <f t="shared" si="43"/>
        <v>15.062660266815492</v>
      </c>
      <c r="I120" s="259">
        <f t="shared" si="43"/>
        <v>30.54685811583315</v>
      </c>
      <c r="J120" s="259">
        <f t="shared" si="43"/>
        <v>53.357759579926082</v>
      </c>
      <c r="K120" s="260">
        <f t="shared" si="43"/>
        <v>134.24000722523749</v>
      </c>
      <c r="L120" s="260">
        <f t="shared" si="43"/>
        <v>22.915065611316056</v>
      </c>
      <c r="M120" s="259">
        <f t="shared" si="43"/>
        <v>26.425835187200317</v>
      </c>
      <c r="N120" s="259">
        <f t="shared" si="43"/>
        <v>18.9884148912199</v>
      </c>
      <c r="O120" s="259">
        <f t="shared" si="43"/>
        <v>14.822145184324901</v>
      </c>
      <c r="P120" s="260">
        <f t="shared" si="43"/>
        <v>83.151460874061016</v>
      </c>
      <c r="Q120" s="260">
        <f t="shared" si="43"/>
        <v>25.885981298896322</v>
      </c>
      <c r="R120" s="259">
        <f t="shared" si="43"/>
        <v>23.891427476560381</v>
      </c>
      <c r="S120" s="261">
        <f t="shared" si="43"/>
        <v>23.200000000000003</v>
      </c>
      <c r="T120" s="261">
        <f t="shared" ref="T120:U120" si="44">+T118+T119</f>
        <v>21.400000000000006</v>
      </c>
      <c r="U120" s="260">
        <f t="shared" si="44"/>
        <v>94.377408775456715</v>
      </c>
    </row>
    <row r="121" spans="1:21">
      <c r="A121" s="365" t="s">
        <v>181</v>
      </c>
      <c r="B121" s="262">
        <f t="shared" ref="B121:R121" si="45">+B120/B101</f>
        <v>0.26520717282386219</v>
      </c>
      <c r="C121" s="262">
        <f t="shared" si="45"/>
        <v>0.3221857901425344</v>
      </c>
      <c r="D121" s="262">
        <f t="shared" si="45"/>
        <v>0.19466295381309909</v>
      </c>
      <c r="E121" s="262">
        <f t="shared" si="45"/>
        <v>0.22513022638249122</v>
      </c>
      <c r="F121" s="263">
        <f t="shared" si="45"/>
        <v>0.25406170567085939</v>
      </c>
      <c r="G121" s="263">
        <f t="shared" si="45"/>
        <v>0.32000853074792529</v>
      </c>
      <c r="H121" s="262">
        <f t="shared" si="45"/>
        <v>0.16015108989597723</v>
      </c>
      <c r="I121" s="262">
        <f t="shared" si="45"/>
        <v>0.26773451711475221</v>
      </c>
      <c r="J121" s="262">
        <f t="shared" si="45"/>
        <v>0.37489007042075367</v>
      </c>
      <c r="K121" s="263">
        <f t="shared" si="45"/>
        <v>0.29138264986222262</v>
      </c>
      <c r="L121" s="263">
        <f t="shared" si="45"/>
        <v>0.25354076411916393</v>
      </c>
      <c r="M121" s="262">
        <f t="shared" si="45"/>
        <v>0.27602498360619943</v>
      </c>
      <c r="N121" s="262">
        <f t="shared" si="45"/>
        <v>0.20682998318459594</v>
      </c>
      <c r="O121" s="262">
        <f t="shared" si="45"/>
        <v>0.161328038497358</v>
      </c>
      <c r="P121" s="263">
        <f t="shared" si="45"/>
        <v>0.22485521569722944</v>
      </c>
      <c r="Q121" s="263">
        <f t="shared" si="45"/>
        <v>0.28901634024484751</v>
      </c>
      <c r="R121" s="262">
        <f t="shared" si="45"/>
        <v>0.25755272944292973</v>
      </c>
      <c r="S121" s="264">
        <f>+S120/S103</f>
        <v>0.25190010857763306</v>
      </c>
      <c r="T121" s="264">
        <f>+T120/T103</f>
        <v>0.20736434108527138</v>
      </c>
      <c r="U121" s="263">
        <f t="shared" ref="U121" si="46">+U120/U101</f>
        <v>0.25521202374654678</v>
      </c>
    </row>
    <row r="122" spans="1:21">
      <c r="A122" s="168"/>
      <c r="B122" s="167"/>
      <c r="C122" s="374"/>
      <c r="D122" s="374"/>
      <c r="E122" s="374"/>
      <c r="F122" s="375"/>
      <c r="G122" s="375"/>
      <c r="H122" s="374"/>
      <c r="I122" s="374"/>
      <c r="J122" s="374"/>
      <c r="K122" s="375"/>
      <c r="L122" s="375"/>
      <c r="M122" s="374"/>
      <c r="N122" s="374"/>
      <c r="O122" s="374"/>
      <c r="P122" s="375"/>
      <c r="Q122" s="375"/>
      <c r="R122" s="167"/>
      <c r="S122" s="76"/>
      <c r="T122" s="76"/>
      <c r="U122" s="375"/>
    </row>
    <row r="123" spans="1:21" s="421" customFormat="1">
      <c r="A123" s="454" t="s">
        <v>230</v>
      </c>
      <c r="B123" s="455"/>
      <c r="C123" s="456"/>
      <c r="D123" s="456"/>
      <c r="E123" s="456"/>
      <c r="F123" s="457"/>
      <c r="G123" s="457"/>
      <c r="H123" s="456"/>
      <c r="I123" s="456"/>
      <c r="J123" s="456"/>
      <c r="K123" s="457"/>
      <c r="L123" s="457"/>
      <c r="M123" s="456"/>
      <c r="N123" s="456"/>
      <c r="O123" s="456"/>
      <c r="P123" s="457"/>
      <c r="Q123" s="457"/>
      <c r="R123" s="458"/>
      <c r="S123" s="417"/>
      <c r="T123" s="417"/>
      <c r="U123" s="457"/>
    </row>
    <row r="124" spans="1:21" hidden="1" outlineLevel="1">
      <c r="A124" s="168" t="s">
        <v>0</v>
      </c>
      <c r="B124" s="265">
        <v>12.37586737</v>
      </c>
      <c r="C124" s="265">
        <v>12.57111596</v>
      </c>
      <c r="D124" s="265">
        <v>15.954281999999999</v>
      </c>
      <c r="E124" s="265">
        <v>24.280484039999997</v>
      </c>
      <c r="F124" s="266">
        <v>65.181749369999991</v>
      </c>
      <c r="G124" s="266">
        <v>12.27347048</v>
      </c>
      <c r="H124" s="265">
        <v>14.42193947</v>
      </c>
      <c r="I124" s="265">
        <v>18.616891510000002</v>
      </c>
      <c r="J124" s="265">
        <v>20.33097922</v>
      </c>
      <c r="K124" s="266">
        <v>65.643280680000004</v>
      </c>
      <c r="L124" s="266">
        <v>16.77256221</v>
      </c>
      <c r="M124" s="265">
        <v>17.89181395</v>
      </c>
      <c r="N124" s="265">
        <v>16.499086030000001</v>
      </c>
      <c r="O124" s="265">
        <v>20.250419760000003</v>
      </c>
      <c r="P124" s="266">
        <v>71.413881950000004</v>
      </c>
      <c r="Q124" s="266">
        <v>13.659185920000001</v>
      </c>
      <c r="R124" s="265">
        <v>17.203111739999997</v>
      </c>
      <c r="S124" s="76"/>
      <c r="T124" s="76"/>
      <c r="U124" s="266">
        <v>71.413881950000004</v>
      </c>
    </row>
    <row r="125" spans="1:21" hidden="1" outlineLevel="1">
      <c r="A125" s="168" t="s">
        <v>1</v>
      </c>
      <c r="B125" s="84">
        <v>0</v>
      </c>
      <c r="C125" s="84">
        <v>0</v>
      </c>
      <c r="D125" s="84">
        <v>0</v>
      </c>
      <c r="E125" s="84">
        <v>0</v>
      </c>
      <c r="F125" s="189">
        <v>0</v>
      </c>
      <c r="G125" s="189">
        <v>0</v>
      </c>
      <c r="H125" s="84">
        <v>0</v>
      </c>
      <c r="I125" s="84">
        <v>0</v>
      </c>
      <c r="J125" s="84">
        <v>0</v>
      </c>
      <c r="K125" s="189">
        <v>0</v>
      </c>
      <c r="L125" s="189">
        <v>0</v>
      </c>
      <c r="M125" s="84">
        <v>0</v>
      </c>
      <c r="N125" s="84">
        <v>0</v>
      </c>
      <c r="O125" s="84">
        <v>0</v>
      </c>
      <c r="P125" s="189">
        <v>0</v>
      </c>
      <c r="Q125" s="189">
        <v>0</v>
      </c>
      <c r="R125" s="84">
        <v>0</v>
      </c>
      <c r="S125" s="76"/>
      <c r="T125" s="76"/>
      <c r="U125" s="189">
        <v>0</v>
      </c>
    </row>
    <row r="126" spans="1:21" collapsed="1">
      <c r="A126" s="364" t="s">
        <v>152</v>
      </c>
      <c r="B126" s="269">
        <v>12.37586737</v>
      </c>
      <c r="C126" s="269">
        <v>12.57111596</v>
      </c>
      <c r="D126" s="269">
        <v>15.954281999999999</v>
      </c>
      <c r="E126" s="269">
        <v>24.280484039999997</v>
      </c>
      <c r="F126" s="270">
        <v>65.181749369999991</v>
      </c>
      <c r="G126" s="270">
        <v>12.27347048</v>
      </c>
      <c r="H126" s="269">
        <v>14.42193947</v>
      </c>
      <c r="I126" s="269">
        <v>18.616891510000002</v>
      </c>
      <c r="J126" s="269">
        <v>20.33097922</v>
      </c>
      <c r="K126" s="270">
        <v>65.643280680000004</v>
      </c>
      <c r="L126" s="270">
        <v>16.77256221</v>
      </c>
      <c r="M126" s="269">
        <v>17.89181395</v>
      </c>
      <c r="N126" s="269">
        <v>16.499086030000001</v>
      </c>
      <c r="O126" s="269">
        <v>20.250419760000003</v>
      </c>
      <c r="P126" s="270">
        <v>71.413881950000004</v>
      </c>
      <c r="Q126" s="270">
        <v>13.659185920000001</v>
      </c>
      <c r="R126" s="269">
        <v>17.203111739999997</v>
      </c>
      <c r="S126" s="261">
        <v>14.5</v>
      </c>
      <c r="T126" s="261">
        <v>32.299999999999997</v>
      </c>
      <c r="U126" s="270">
        <f>+Q126+R126+S126+T126</f>
        <v>77.662297659999993</v>
      </c>
    </row>
    <row r="127" spans="1:21">
      <c r="A127" s="168"/>
      <c r="B127" s="84"/>
      <c r="C127" s="84"/>
      <c r="D127" s="84"/>
      <c r="E127" s="84"/>
      <c r="F127" s="189"/>
      <c r="G127" s="189"/>
      <c r="H127" s="84"/>
      <c r="I127" s="84"/>
      <c r="J127" s="84"/>
      <c r="K127" s="189"/>
      <c r="L127" s="189"/>
      <c r="M127" s="84"/>
      <c r="N127" s="84"/>
      <c r="O127" s="84"/>
      <c r="P127" s="189"/>
      <c r="Q127" s="189"/>
      <c r="R127" s="84"/>
      <c r="S127" s="191"/>
      <c r="T127" s="191"/>
      <c r="U127" s="189"/>
    </row>
    <row r="128" spans="1:21">
      <c r="A128" s="168" t="s">
        <v>168</v>
      </c>
      <c r="B128" s="265">
        <v>20.447799289999999</v>
      </c>
      <c r="C128" s="265">
        <v>12.70794491</v>
      </c>
      <c r="D128" s="265">
        <v>27.758775979999999</v>
      </c>
      <c r="E128" s="265">
        <v>39.600720680000002</v>
      </c>
      <c r="F128" s="266">
        <v>100.51524086000001</v>
      </c>
      <c r="G128" s="266">
        <v>18.564804179999999</v>
      </c>
      <c r="H128" s="265">
        <v>14.96233717</v>
      </c>
      <c r="I128" s="265">
        <v>19.88259175</v>
      </c>
      <c r="J128" s="265">
        <v>64.169843029999996</v>
      </c>
      <c r="K128" s="266">
        <v>117.57957612999999</v>
      </c>
      <c r="L128" s="266">
        <v>37.196373100000002</v>
      </c>
      <c r="M128" s="265">
        <v>27.829082329999999</v>
      </c>
      <c r="N128" s="265">
        <v>26.99059518</v>
      </c>
      <c r="O128" s="265">
        <v>47.13220201</v>
      </c>
      <c r="P128" s="266">
        <v>139.14825261999999</v>
      </c>
      <c r="Q128" s="266">
        <v>21.117448809999999</v>
      </c>
      <c r="R128" s="265">
        <v>47.496669679999997</v>
      </c>
      <c r="S128" s="191">
        <v>46.9</v>
      </c>
      <c r="T128" s="191">
        <v>43.7</v>
      </c>
      <c r="U128" s="266">
        <f>+Q128+R128+S128+T128</f>
        <v>159.21411848999998</v>
      </c>
    </row>
    <row r="129" spans="1:21" s="19" customFormat="1">
      <c r="A129" s="363" t="s">
        <v>169</v>
      </c>
      <c r="B129" s="267">
        <v>1.1481252500000001</v>
      </c>
      <c r="C129" s="267">
        <v>0.96629880000000001</v>
      </c>
      <c r="D129" s="267">
        <v>0.96412587999999999</v>
      </c>
      <c r="E129" s="267">
        <v>0.71701482999999999</v>
      </c>
      <c r="F129" s="268">
        <v>3.79556476</v>
      </c>
      <c r="G129" s="268">
        <v>0.64702106000000004</v>
      </c>
      <c r="H129" s="267">
        <v>0.56257773999999994</v>
      </c>
      <c r="I129" s="267">
        <v>0.51201584999999994</v>
      </c>
      <c r="J129" s="267">
        <v>0.49612323999999997</v>
      </c>
      <c r="K129" s="268">
        <v>2.21773789</v>
      </c>
      <c r="L129" s="268">
        <v>0.58797228000000001</v>
      </c>
      <c r="M129" s="267">
        <v>0.70072298</v>
      </c>
      <c r="N129" s="267">
        <v>0.64301695999999997</v>
      </c>
      <c r="O129" s="267">
        <v>0.53744851999999999</v>
      </c>
      <c r="P129" s="268">
        <v>2.4691607400000004</v>
      </c>
      <c r="Q129" s="268">
        <v>0.54521581000000008</v>
      </c>
      <c r="R129" s="267">
        <v>0.54318193000000004</v>
      </c>
      <c r="S129" s="250">
        <v>0.6</v>
      </c>
      <c r="T129" s="250">
        <v>0.4</v>
      </c>
      <c r="U129" s="268">
        <f>+Q129+R129+S129+T129</f>
        <v>2.08839774</v>
      </c>
    </row>
    <row r="130" spans="1:21">
      <c r="A130" s="175" t="s">
        <v>6</v>
      </c>
      <c r="B130" s="84">
        <v>21.595924539999999</v>
      </c>
      <c r="C130" s="84">
        <v>13.674243710000001</v>
      </c>
      <c r="D130" s="84">
        <v>28.72290186</v>
      </c>
      <c r="E130" s="84">
        <v>40.317735509999999</v>
      </c>
      <c r="F130" s="189">
        <v>104.31080562000001</v>
      </c>
      <c r="G130" s="189">
        <v>19.21182524</v>
      </c>
      <c r="H130" s="84">
        <v>15.52491491</v>
      </c>
      <c r="I130" s="84">
        <v>20.394607600000001</v>
      </c>
      <c r="J130" s="84">
        <v>64.665966269999998</v>
      </c>
      <c r="K130" s="189">
        <v>119.79731401999999</v>
      </c>
      <c r="L130" s="189">
        <v>37.784345380000005</v>
      </c>
      <c r="M130" s="84">
        <v>28.529805309999997</v>
      </c>
      <c r="N130" s="84">
        <v>27.63361214</v>
      </c>
      <c r="O130" s="84">
        <v>47.669650529999998</v>
      </c>
      <c r="P130" s="189">
        <v>141.61741336</v>
      </c>
      <c r="Q130" s="189">
        <v>21.662664619999997</v>
      </c>
      <c r="R130" s="84">
        <v>48.039851609999999</v>
      </c>
      <c r="S130" s="191">
        <f>+S128+S129</f>
        <v>47.5</v>
      </c>
      <c r="T130" s="191">
        <f>+T128+T129</f>
        <v>44.1</v>
      </c>
      <c r="U130" s="189">
        <f>+U128+U129</f>
        <v>161.30251622999998</v>
      </c>
    </row>
    <row r="131" spans="1:21" ht="1.5" customHeight="1">
      <c r="A131" s="168"/>
      <c r="B131" s="84"/>
      <c r="C131" s="84"/>
      <c r="D131" s="84"/>
      <c r="E131" s="84"/>
      <c r="F131" s="189"/>
      <c r="G131" s="189"/>
      <c r="H131" s="84"/>
      <c r="I131" s="84"/>
      <c r="J131" s="84"/>
      <c r="K131" s="189"/>
      <c r="L131" s="189"/>
      <c r="M131" s="84"/>
      <c r="N131" s="84"/>
      <c r="O131" s="84"/>
      <c r="P131" s="189"/>
      <c r="Q131" s="189"/>
      <c r="R131" s="84"/>
      <c r="S131" s="191"/>
      <c r="T131" s="191"/>
      <c r="U131" s="189"/>
    </row>
    <row r="132" spans="1:21">
      <c r="A132" s="168" t="s">
        <v>7</v>
      </c>
      <c r="B132" s="265">
        <v>6.6971904599999998</v>
      </c>
      <c r="C132" s="265">
        <v>0.14185017999999999</v>
      </c>
      <c r="D132" s="265">
        <v>7.2354124500000001</v>
      </c>
      <c r="E132" s="265">
        <v>20.556442420000003</v>
      </c>
      <c r="F132" s="266">
        <v>34.630895509999995</v>
      </c>
      <c r="G132" s="266">
        <v>0</v>
      </c>
      <c r="H132" s="265">
        <v>6.9857551900000008</v>
      </c>
      <c r="I132" s="265">
        <v>3.1539097999999997</v>
      </c>
      <c r="J132" s="265">
        <v>0.63127465999999999</v>
      </c>
      <c r="K132" s="266">
        <v>10.770939650000001</v>
      </c>
      <c r="L132" s="266">
        <v>4.8190280699999999</v>
      </c>
      <c r="M132" s="265">
        <v>0</v>
      </c>
      <c r="N132" s="265">
        <v>11.042806240000001</v>
      </c>
      <c r="O132" s="265">
        <v>0</v>
      </c>
      <c r="P132" s="266">
        <v>15.851615949999999</v>
      </c>
      <c r="Q132" s="266">
        <v>1.3852273400000001</v>
      </c>
      <c r="R132" s="265">
        <v>11.297729619999998</v>
      </c>
      <c r="S132" s="191">
        <v>6.2</v>
      </c>
      <c r="T132" s="191">
        <v>1</v>
      </c>
      <c r="U132" s="266">
        <f>+Q132+R132+S132+T132</f>
        <v>19.882956959999998</v>
      </c>
    </row>
    <row r="133" spans="1:21" ht="4.5" customHeight="1">
      <c r="A133" s="168"/>
      <c r="B133" s="84"/>
      <c r="C133" s="84"/>
      <c r="D133" s="84"/>
      <c r="E133" s="84"/>
      <c r="F133" s="189"/>
      <c r="G133" s="189"/>
      <c r="H133" s="84"/>
      <c r="I133" s="84"/>
      <c r="J133" s="84"/>
      <c r="K133" s="189"/>
      <c r="L133" s="189"/>
      <c r="M133" s="84"/>
      <c r="N133" s="84"/>
      <c r="O133" s="84"/>
      <c r="P133" s="189"/>
      <c r="Q133" s="189"/>
      <c r="R133" s="84"/>
      <c r="S133" s="191"/>
      <c r="T133" s="191"/>
      <c r="U133" s="189"/>
    </row>
    <row r="134" spans="1:21" s="28" customFormat="1">
      <c r="A134" s="366" t="s">
        <v>8</v>
      </c>
      <c r="B134" s="265">
        <v>-2.5228667099999988</v>
      </c>
      <c r="C134" s="265">
        <v>-0.96127757000000047</v>
      </c>
      <c r="D134" s="265">
        <v>-5.533207410000001</v>
      </c>
      <c r="E134" s="265">
        <v>4.5191909500000023</v>
      </c>
      <c r="F134" s="266">
        <v>-4.4981607400000243</v>
      </c>
      <c r="G134" s="266">
        <v>-6.9383547599999993</v>
      </c>
      <c r="H134" s="265">
        <v>5.882779750000001</v>
      </c>
      <c r="I134" s="265">
        <v>1.3761937100000012</v>
      </c>
      <c r="J134" s="265">
        <v>-43.703712389999993</v>
      </c>
      <c r="K134" s="266">
        <v>-43.383093689999981</v>
      </c>
      <c r="L134" s="266">
        <v>-16.192755100000007</v>
      </c>
      <c r="M134" s="265">
        <v>-10.637850719999998</v>
      </c>
      <c r="N134" s="265">
        <v>-9.1719869999998593E-2</v>
      </c>
      <c r="O134" s="265">
        <v>-27.429589769999996</v>
      </c>
      <c r="P134" s="266">
        <v>-54.351915460000001</v>
      </c>
      <c r="Q134" s="266">
        <v>-6.6</v>
      </c>
      <c r="R134" s="265">
        <v>-19.5</v>
      </c>
      <c r="S134" s="274">
        <f>+S126-S130+S132</f>
        <v>-26.8</v>
      </c>
      <c r="T134" s="274">
        <f>+T126-T130+T132</f>
        <v>-10.800000000000004</v>
      </c>
      <c r="U134" s="266">
        <f>+Q134+R134+S134+T134</f>
        <v>-63.70000000000001</v>
      </c>
    </row>
    <row r="135" spans="1:21" ht="5.25" customHeight="1">
      <c r="A135" s="168"/>
      <c r="B135" s="84"/>
      <c r="C135" s="84"/>
      <c r="D135" s="84"/>
      <c r="E135" s="84"/>
      <c r="F135" s="189"/>
      <c r="G135" s="189"/>
      <c r="H135" s="84"/>
      <c r="I135" s="84"/>
      <c r="J135" s="84"/>
      <c r="K135" s="189"/>
      <c r="L135" s="189"/>
      <c r="M135" s="84"/>
      <c r="N135" s="84"/>
      <c r="O135" s="84"/>
      <c r="P135" s="189"/>
      <c r="Q135" s="189"/>
      <c r="R135" s="84"/>
      <c r="S135" s="191"/>
      <c r="T135" s="191"/>
      <c r="U135" s="189"/>
    </row>
    <row r="136" spans="1:21">
      <c r="A136" s="168" t="s">
        <v>170</v>
      </c>
      <c r="B136" s="265">
        <v>13.118738460000001</v>
      </c>
      <c r="C136" s="265">
        <v>1.4454556200000002</v>
      </c>
      <c r="D136" s="265">
        <v>30.185393600000001</v>
      </c>
      <c r="E136" s="265">
        <v>27.698557359999999</v>
      </c>
      <c r="F136" s="266">
        <v>72.44814504</v>
      </c>
      <c r="G136" s="266">
        <v>10.66105552</v>
      </c>
      <c r="H136" s="265">
        <v>0.81668712000000099</v>
      </c>
      <c r="I136" s="265">
        <v>7.8153440300000003</v>
      </c>
      <c r="J136" s="265">
        <v>117.15363936</v>
      </c>
      <c r="K136" s="266">
        <v>136.44672603000001</v>
      </c>
      <c r="L136" s="266">
        <v>47.39199945</v>
      </c>
      <c r="M136" s="265">
        <v>28.47769452</v>
      </c>
      <c r="N136" s="265">
        <v>19.511960980000001</v>
      </c>
      <c r="O136" s="265">
        <v>74.7939334</v>
      </c>
      <c r="P136" s="266">
        <v>170.17558835</v>
      </c>
      <c r="Q136" s="266">
        <v>8.93486768</v>
      </c>
      <c r="R136" s="265">
        <v>65.444399450000006</v>
      </c>
      <c r="S136" s="191">
        <v>62.1</v>
      </c>
      <c r="T136" s="191">
        <v>45</v>
      </c>
      <c r="U136" s="266">
        <f>+Q136+R136+S136+T136</f>
        <v>181.47926713000001</v>
      </c>
    </row>
    <row r="137" spans="1:21" hidden="1" outlineLevel="1">
      <c r="A137" s="168" t="s">
        <v>160</v>
      </c>
      <c r="B137" s="265"/>
      <c r="C137" s="265"/>
      <c r="D137" s="265"/>
      <c r="E137" s="265"/>
      <c r="F137" s="266"/>
      <c r="G137" s="266"/>
      <c r="H137" s="265"/>
      <c r="I137" s="265"/>
      <c r="J137" s="265"/>
      <c r="K137" s="266"/>
      <c r="L137" s="266"/>
      <c r="M137" s="265"/>
      <c r="N137" s="265"/>
      <c r="O137" s="265"/>
      <c r="P137" s="266"/>
      <c r="Q137" s="266"/>
      <c r="R137" s="265"/>
      <c r="S137" s="191">
        <v>0</v>
      </c>
      <c r="T137" s="191">
        <v>0</v>
      </c>
      <c r="U137" s="266"/>
    </row>
    <row r="138" spans="1:21" collapsed="1">
      <c r="A138" s="168" t="s">
        <v>180</v>
      </c>
      <c r="B138" s="265">
        <v>0.16908682999999999</v>
      </c>
      <c r="C138" s="265">
        <v>-7.65155E-2</v>
      </c>
      <c r="D138" s="265">
        <v>1.5975904999999999</v>
      </c>
      <c r="E138" s="265">
        <v>-2.3293807499999999</v>
      </c>
      <c r="F138" s="266">
        <v>-0.63921892000000002</v>
      </c>
      <c r="G138" s="266">
        <v>-1.16610847</v>
      </c>
      <c r="H138" s="265">
        <v>6.5093722699999992</v>
      </c>
      <c r="I138" s="265">
        <v>-0.18036945000000001</v>
      </c>
      <c r="J138" s="265">
        <v>5.2414340000000795E-2</v>
      </c>
      <c r="K138" s="266">
        <v>5.2153086900000005</v>
      </c>
      <c r="L138" s="266">
        <v>-8.8062340000000003E-2</v>
      </c>
      <c r="M138" s="265">
        <v>0</v>
      </c>
      <c r="N138" s="265">
        <v>4.3547550199999998</v>
      </c>
      <c r="O138" s="265">
        <v>7.3550080000000101E-2</v>
      </c>
      <c r="P138" s="266">
        <v>4.3560565700000007</v>
      </c>
      <c r="Q138" s="266">
        <v>5.7633699999999996E-2</v>
      </c>
      <c r="R138" s="265">
        <v>0</v>
      </c>
      <c r="S138" s="191">
        <v>0</v>
      </c>
      <c r="T138" s="191">
        <v>0.1</v>
      </c>
      <c r="U138" s="266">
        <f>+Q138+R138+S138+T138</f>
        <v>0.15763369999999999</v>
      </c>
    </row>
    <row r="139" spans="1:21" ht="3.75" customHeight="1">
      <c r="A139" s="168"/>
      <c r="B139" s="84"/>
      <c r="C139" s="84"/>
      <c r="D139" s="84"/>
      <c r="E139" s="84"/>
      <c r="F139" s="189"/>
      <c r="G139" s="189"/>
      <c r="H139" s="84"/>
      <c r="I139" s="84"/>
      <c r="J139" s="84"/>
      <c r="K139" s="189"/>
      <c r="L139" s="189"/>
      <c r="M139" s="84"/>
      <c r="N139" s="84"/>
      <c r="O139" s="84"/>
      <c r="P139" s="189"/>
      <c r="Q139" s="189"/>
      <c r="R139" s="84"/>
      <c r="S139" s="191"/>
      <c r="T139" s="191"/>
      <c r="U139" s="189"/>
    </row>
    <row r="140" spans="1:21" s="19" customFormat="1">
      <c r="A140" s="363" t="s">
        <v>178</v>
      </c>
      <c r="B140" s="80">
        <v>1.1481252500000001</v>
      </c>
      <c r="C140" s="80">
        <v>0.96629880000000001</v>
      </c>
      <c r="D140" s="80">
        <v>0.96412587999999999</v>
      </c>
      <c r="E140" s="80">
        <v>0.71701482999999999</v>
      </c>
      <c r="F140" s="190">
        <v>3.79556476</v>
      </c>
      <c r="G140" s="190">
        <v>0.64702106000000004</v>
      </c>
      <c r="H140" s="80">
        <v>0.56257773999999994</v>
      </c>
      <c r="I140" s="80">
        <v>0.51201584999999994</v>
      </c>
      <c r="J140" s="80">
        <v>0.49612323999999997</v>
      </c>
      <c r="K140" s="190">
        <v>2.21773789</v>
      </c>
      <c r="L140" s="190">
        <v>0.58797228000000001</v>
      </c>
      <c r="M140" s="80">
        <v>0.70072298</v>
      </c>
      <c r="N140" s="80">
        <v>0.64301695999999997</v>
      </c>
      <c r="O140" s="80">
        <v>0.53744851999999999</v>
      </c>
      <c r="P140" s="190">
        <v>2.4691607400000004</v>
      </c>
      <c r="Q140" s="190">
        <v>0.54521581000000008</v>
      </c>
      <c r="R140" s="80">
        <v>0.54318193000000004</v>
      </c>
      <c r="S140" s="250">
        <f>+S129</f>
        <v>0.6</v>
      </c>
      <c r="T140" s="250">
        <f>+T129</f>
        <v>0.4</v>
      </c>
      <c r="U140" s="190">
        <f>+Q140+R140+S140+T140</f>
        <v>2.08839774</v>
      </c>
    </row>
    <row r="141" spans="1:21">
      <c r="A141" s="364" t="s">
        <v>18</v>
      </c>
      <c r="B141" s="259">
        <f t="shared" ref="B141:S141" si="47">+B134+B136+B137-B138+B140</f>
        <v>11.574910170000003</v>
      </c>
      <c r="C141" s="259">
        <f t="shared" si="47"/>
        <v>1.5269923499999996</v>
      </c>
      <c r="D141" s="259">
        <f t="shared" si="47"/>
        <v>24.018721570000004</v>
      </c>
      <c r="E141" s="259">
        <f t="shared" si="47"/>
        <v>35.26414389</v>
      </c>
      <c r="F141" s="260">
        <f t="shared" si="47"/>
        <v>72.384767979999992</v>
      </c>
      <c r="G141" s="260">
        <f t="shared" si="47"/>
        <v>5.5358302900000007</v>
      </c>
      <c r="H141" s="259">
        <f t="shared" si="47"/>
        <v>0.75267234000000272</v>
      </c>
      <c r="I141" s="259">
        <f t="shared" si="47"/>
        <v>9.8839230400000009</v>
      </c>
      <c r="J141" s="259">
        <f t="shared" si="47"/>
        <v>73.893635870000011</v>
      </c>
      <c r="K141" s="260">
        <f t="shared" si="47"/>
        <v>90.066061540000021</v>
      </c>
      <c r="L141" s="260">
        <f t="shared" si="47"/>
        <v>31.875278969999993</v>
      </c>
      <c r="M141" s="259">
        <f t="shared" si="47"/>
        <v>18.540566780000002</v>
      </c>
      <c r="N141" s="259">
        <f t="shared" si="47"/>
        <v>15.708503050000004</v>
      </c>
      <c r="O141" s="259">
        <f t="shared" si="47"/>
        <v>47.828242070000009</v>
      </c>
      <c r="P141" s="260">
        <f t="shared" si="47"/>
        <v>113.93677706</v>
      </c>
      <c r="Q141" s="260">
        <f t="shared" si="47"/>
        <v>2.8224497900000007</v>
      </c>
      <c r="R141" s="259">
        <f t="shared" si="47"/>
        <v>46.487581380000009</v>
      </c>
      <c r="S141" s="261">
        <f t="shared" si="47"/>
        <v>35.9</v>
      </c>
      <c r="T141" s="261">
        <f t="shared" ref="T141:U141" si="48">+T134+T136+T137-T138+T140</f>
        <v>34.499999999999993</v>
      </c>
      <c r="U141" s="260">
        <f t="shared" si="48"/>
        <v>119.71003116999999</v>
      </c>
    </row>
    <row r="142" spans="1:21">
      <c r="A142" s="168" t="s">
        <v>224</v>
      </c>
      <c r="B142" s="174">
        <v>0</v>
      </c>
      <c r="C142" s="174">
        <v>0</v>
      </c>
      <c r="D142" s="174">
        <v>0</v>
      </c>
      <c r="E142" s="174">
        <v>0</v>
      </c>
      <c r="F142" s="186">
        <v>0</v>
      </c>
      <c r="G142" s="186">
        <v>0</v>
      </c>
      <c r="H142" s="174">
        <v>0</v>
      </c>
      <c r="I142" s="174">
        <v>0</v>
      </c>
      <c r="J142" s="174">
        <v>0</v>
      </c>
      <c r="K142" s="186">
        <v>0</v>
      </c>
      <c r="L142" s="186">
        <v>0</v>
      </c>
      <c r="M142" s="174">
        <v>0</v>
      </c>
      <c r="N142" s="174">
        <v>0</v>
      </c>
      <c r="O142" s="174">
        <v>0</v>
      </c>
      <c r="P142" s="186">
        <v>0</v>
      </c>
      <c r="Q142" s="186">
        <v>0</v>
      </c>
      <c r="R142" s="174">
        <v>0</v>
      </c>
      <c r="S142" s="191">
        <v>0</v>
      </c>
      <c r="T142" s="191">
        <v>0</v>
      </c>
      <c r="U142" s="186">
        <v>0</v>
      </c>
    </row>
    <row r="143" spans="1:21">
      <c r="A143" s="364" t="s">
        <v>17</v>
      </c>
      <c r="B143" s="259">
        <f t="shared" ref="B143:S143" si="49">+B141+B142</f>
        <v>11.574910170000003</v>
      </c>
      <c r="C143" s="259">
        <f t="shared" si="49"/>
        <v>1.5269923499999996</v>
      </c>
      <c r="D143" s="259">
        <f t="shared" si="49"/>
        <v>24.018721570000004</v>
      </c>
      <c r="E143" s="259">
        <f t="shared" si="49"/>
        <v>35.26414389</v>
      </c>
      <c r="F143" s="260">
        <f t="shared" si="49"/>
        <v>72.384767979999992</v>
      </c>
      <c r="G143" s="260">
        <f t="shared" si="49"/>
        <v>5.5358302900000007</v>
      </c>
      <c r="H143" s="259">
        <f t="shared" si="49"/>
        <v>0.75267234000000272</v>
      </c>
      <c r="I143" s="259">
        <f t="shared" si="49"/>
        <v>9.8839230400000009</v>
      </c>
      <c r="J143" s="259">
        <f t="shared" si="49"/>
        <v>73.893635870000011</v>
      </c>
      <c r="K143" s="260">
        <f t="shared" si="49"/>
        <v>90.066061540000021</v>
      </c>
      <c r="L143" s="260">
        <f t="shared" si="49"/>
        <v>31.875278969999993</v>
      </c>
      <c r="M143" s="259">
        <f t="shared" si="49"/>
        <v>18.540566780000002</v>
      </c>
      <c r="N143" s="259">
        <f t="shared" si="49"/>
        <v>15.708503050000004</v>
      </c>
      <c r="O143" s="259">
        <f t="shared" si="49"/>
        <v>47.828242070000009</v>
      </c>
      <c r="P143" s="260">
        <f t="shared" si="49"/>
        <v>113.93677706</v>
      </c>
      <c r="Q143" s="260">
        <f t="shared" si="49"/>
        <v>2.8224497900000007</v>
      </c>
      <c r="R143" s="259">
        <f t="shared" si="49"/>
        <v>46.487581380000009</v>
      </c>
      <c r="S143" s="261">
        <f t="shared" si="49"/>
        <v>35.9</v>
      </c>
      <c r="T143" s="261">
        <f t="shared" ref="T143:U143" si="50">+T141+T142</f>
        <v>34.499999999999993</v>
      </c>
      <c r="U143" s="260">
        <f t="shared" si="50"/>
        <v>119.71003116999999</v>
      </c>
    </row>
    <row r="144" spans="1:21">
      <c r="A144" s="365" t="s">
        <v>181</v>
      </c>
      <c r="B144" s="262">
        <f t="shared" ref="B144:R144" si="51">+B143/B124</f>
        <v>0.93528072206546298</v>
      </c>
      <c r="C144" s="262">
        <f t="shared" si="51"/>
        <v>0.1214683210988374</v>
      </c>
      <c r="D144" s="262">
        <f t="shared" si="51"/>
        <v>1.5054717955969441</v>
      </c>
      <c r="E144" s="262">
        <f t="shared" si="51"/>
        <v>1.452365769640563</v>
      </c>
      <c r="F144" s="263">
        <f t="shared" si="51"/>
        <v>1.11050667832053</v>
      </c>
      <c r="G144" s="263">
        <f t="shared" si="51"/>
        <v>0.45104033932544241</v>
      </c>
      <c r="H144" s="262">
        <f t="shared" si="51"/>
        <v>5.2189398074072121E-2</v>
      </c>
      <c r="I144" s="262">
        <f t="shared" si="51"/>
        <v>0.53091156677208351</v>
      </c>
      <c r="J144" s="262">
        <f t="shared" si="51"/>
        <v>3.634534031558565</v>
      </c>
      <c r="K144" s="263">
        <f t="shared" si="51"/>
        <v>1.3720530206138992</v>
      </c>
      <c r="L144" s="263">
        <f t="shared" si="51"/>
        <v>1.9004418389335633</v>
      </c>
      <c r="M144" s="262">
        <f t="shared" si="51"/>
        <v>1.0362597572170709</v>
      </c>
      <c r="N144" s="262">
        <f t="shared" si="51"/>
        <v>0.95208322578823501</v>
      </c>
      <c r="O144" s="262">
        <f t="shared" si="51"/>
        <v>2.3618395389745737</v>
      </c>
      <c r="P144" s="263">
        <f t="shared" si="51"/>
        <v>1.5954429859977663</v>
      </c>
      <c r="Q144" s="263">
        <f t="shared" si="51"/>
        <v>0.20663382184931858</v>
      </c>
      <c r="R144" s="262">
        <f t="shared" si="51"/>
        <v>2.702277476458455</v>
      </c>
      <c r="S144" s="275">
        <f>+S143/S126</f>
        <v>2.4758620689655171</v>
      </c>
      <c r="T144" s="275">
        <f>+T143/T126</f>
        <v>1.068111455108359</v>
      </c>
      <c r="U144" s="263">
        <f t="shared" ref="U144" si="52">+U143/U124</f>
        <v>1.6762851689509646</v>
      </c>
    </row>
    <row r="145" spans="1:49">
      <c r="A145" s="168"/>
      <c r="B145" s="199"/>
      <c r="C145" s="76"/>
      <c r="D145" s="76"/>
      <c r="E145" s="76"/>
      <c r="F145" s="160"/>
      <c r="G145" s="160"/>
      <c r="H145" s="76"/>
      <c r="I145" s="76"/>
      <c r="J145" s="76"/>
      <c r="K145" s="160"/>
      <c r="L145" s="160"/>
      <c r="M145" s="76"/>
      <c r="N145" s="76"/>
      <c r="O145" s="76"/>
      <c r="P145" s="160"/>
      <c r="Q145" s="160"/>
      <c r="R145" s="76"/>
      <c r="S145" s="76"/>
      <c r="T145" s="76"/>
      <c r="U145" s="160"/>
    </row>
    <row r="146" spans="1:49">
      <c r="A146" s="168" t="s">
        <v>182</v>
      </c>
      <c r="B146" s="276">
        <f t="shared" ref="B146:S146" si="53">+B126+B132+B136-B138</f>
        <v>32.022709460000002</v>
      </c>
      <c r="C146" s="276">
        <f t="shared" si="53"/>
        <v>14.234937260000001</v>
      </c>
      <c r="D146" s="276">
        <f t="shared" si="53"/>
        <v>51.77749755</v>
      </c>
      <c r="E146" s="276">
        <f t="shared" si="53"/>
        <v>74.864864569999995</v>
      </c>
      <c r="F146" s="256">
        <f t="shared" si="53"/>
        <v>172.90000883999997</v>
      </c>
      <c r="G146" s="256">
        <f t="shared" si="53"/>
        <v>24.100634469999999</v>
      </c>
      <c r="H146" s="276">
        <f t="shared" si="53"/>
        <v>15.715009510000002</v>
      </c>
      <c r="I146" s="276">
        <f t="shared" si="53"/>
        <v>29.766514790000002</v>
      </c>
      <c r="J146" s="276">
        <f t="shared" si="53"/>
        <v>138.06347889999998</v>
      </c>
      <c r="K146" s="256">
        <f t="shared" si="53"/>
        <v>207.64563767000001</v>
      </c>
      <c r="L146" s="256">
        <f t="shared" si="53"/>
        <v>69.071652069999999</v>
      </c>
      <c r="M146" s="276">
        <f t="shared" si="53"/>
        <v>46.36950847</v>
      </c>
      <c r="N146" s="276">
        <f t="shared" si="53"/>
        <v>42.699098230000004</v>
      </c>
      <c r="O146" s="276">
        <f t="shared" si="53"/>
        <v>94.970803079999996</v>
      </c>
      <c r="P146" s="256">
        <f t="shared" si="53"/>
        <v>253.08502968000002</v>
      </c>
      <c r="Q146" s="256">
        <f t="shared" si="53"/>
        <v>23.921647240000002</v>
      </c>
      <c r="R146" s="276">
        <f t="shared" si="53"/>
        <v>93.945240810000001</v>
      </c>
      <c r="S146" s="276">
        <f t="shared" si="53"/>
        <v>82.8</v>
      </c>
      <c r="T146" s="276">
        <f t="shared" ref="T146:U146" si="54">+T126+T132+T136-T138</f>
        <v>78.2</v>
      </c>
      <c r="U146" s="256">
        <f t="shared" si="54"/>
        <v>278.86688805</v>
      </c>
    </row>
    <row r="147" spans="1:49">
      <c r="A147" s="365" t="s">
        <v>183</v>
      </c>
      <c r="B147" s="262">
        <f t="shared" ref="B147:S147" si="55">+B143/B146</f>
        <v>0.36145942567596845</v>
      </c>
      <c r="C147" s="262">
        <f t="shared" si="55"/>
        <v>0.10727074676267309</v>
      </c>
      <c r="D147" s="262">
        <f t="shared" si="55"/>
        <v>0.46388339928568068</v>
      </c>
      <c r="E147" s="262">
        <f t="shared" si="55"/>
        <v>0.47103730291300255</v>
      </c>
      <c r="F147" s="263">
        <f t="shared" si="55"/>
        <v>0.41865103689488048</v>
      </c>
      <c r="G147" s="263">
        <f t="shared" si="55"/>
        <v>0.22969645454317372</v>
      </c>
      <c r="H147" s="262">
        <f t="shared" si="55"/>
        <v>4.7895124690891938E-2</v>
      </c>
      <c r="I147" s="262">
        <f t="shared" si="55"/>
        <v>0.33204838086454391</v>
      </c>
      <c r="J147" s="262">
        <f t="shared" si="55"/>
        <v>0.53521493488891092</v>
      </c>
      <c r="K147" s="263">
        <f t="shared" si="55"/>
        <v>0.43374887404635559</v>
      </c>
      <c r="L147" s="263">
        <f t="shared" si="55"/>
        <v>0.46148134603319318</v>
      </c>
      <c r="M147" s="262">
        <f t="shared" si="55"/>
        <v>0.39984393606404778</v>
      </c>
      <c r="N147" s="262">
        <f t="shared" si="55"/>
        <v>0.36788840282728386</v>
      </c>
      <c r="O147" s="262">
        <f t="shared" si="55"/>
        <v>0.50360995715400247</v>
      </c>
      <c r="P147" s="263">
        <f t="shared" si="55"/>
        <v>0.45019168934670428</v>
      </c>
      <c r="Q147" s="263">
        <f t="shared" si="55"/>
        <v>0.11798726741862951</v>
      </c>
      <c r="R147" s="262">
        <f t="shared" si="55"/>
        <v>0.49483700269627323</v>
      </c>
      <c r="S147" s="262">
        <f t="shared" si="55"/>
        <v>0.43357487922705312</v>
      </c>
      <c r="T147" s="262">
        <f t="shared" ref="T147:U147" si="56">+T143/T146</f>
        <v>0.44117647058823517</v>
      </c>
      <c r="U147" s="263">
        <f t="shared" si="56"/>
        <v>0.42927301985216809</v>
      </c>
    </row>
    <row r="148" spans="1:49" ht="6" customHeight="1">
      <c r="A148" s="173"/>
      <c r="B148" s="79"/>
      <c r="C148" s="74"/>
      <c r="D148" s="74"/>
      <c r="E148" s="74"/>
      <c r="F148" s="74"/>
      <c r="G148" s="74"/>
      <c r="H148" s="74"/>
      <c r="I148" s="74"/>
      <c r="J148" s="74"/>
      <c r="K148" s="74"/>
      <c r="L148" s="74"/>
      <c r="M148" s="74"/>
      <c r="N148" s="74"/>
      <c r="O148" s="74"/>
      <c r="P148" s="74"/>
      <c r="Q148" s="74"/>
      <c r="R148" s="74"/>
      <c r="S148" s="74"/>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row>
    <row r="149" spans="1:49">
      <c r="A149" s="477" t="s">
        <v>126</v>
      </c>
      <c r="B149" s="478"/>
      <c r="C149" s="478"/>
      <c r="D149" s="478"/>
      <c r="E149" s="478"/>
      <c r="F149" s="478"/>
      <c r="G149" s="478"/>
      <c r="H149" s="478"/>
      <c r="I149" s="478"/>
      <c r="J149" s="478"/>
      <c r="K149" s="478"/>
      <c r="L149" s="74"/>
      <c r="M149" s="74"/>
      <c r="N149" s="74"/>
      <c r="O149" s="74"/>
      <c r="P149" s="74"/>
      <c r="Q149" s="74"/>
      <c r="R149" s="74"/>
      <c r="S149" s="74"/>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row>
    <row r="150" spans="1:49" ht="14.7" customHeight="1">
      <c r="A150" s="277" t="s">
        <v>127</v>
      </c>
      <c r="B150" s="104"/>
      <c r="C150" s="104"/>
      <c r="D150" s="104"/>
      <c r="E150" s="104"/>
      <c r="F150" s="104"/>
      <c r="G150" s="104"/>
      <c r="H150" s="104"/>
      <c r="I150" s="104"/>
      <c r="J150" s="104"/>
      <c r="K150" s="104"/>
      <c r="L150" s="104"/>
      <c r="M150" s="104"/>
      <c r="N150" s="104"/>
      <c r="O150" s="104"/>
      <c r="P150" s="104"/>
      <c r="Q150" s="74"/>
      <c r="R150" s="74"/>
      <c r="S150" s="74"/>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row>
    <row r="151" spans="1:49" ht="21.6" customHeight="1">
      <c r="A151" s="491" t="s">
        <v>166</v>
      </c>
      <c r="B151" s="491"/>
      <c r="C151" s="491"/>
      <c r="D151" s="491"/>
      <c r="E151" s="491"/>
      <c r="F151" s="491"/>
      <c r="G151" s="491"/>
      <c r="H151" s="491"/>
      <c r="I151" s="491"/>
      <c r="J151" s="491"/>
      <c r="K151" s="491"/>
      <c r="L151" s="491"/>
      <c r="M151" s="491"/>
      <c r="N151" s="491"/>
      <c r="O151" s="491"/>
      <c r="P151" s="491"/>
      <c r="Q151" s="491"/>
      <c r="R151" s="491"/>
      <c r="S151" s="491"/>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row>
    <row r="152" spans="1:49">
      <c r="A152" s="96" t="s">
        <v>163</v>
      </c>
      <c r="B152" s="79"/>
      <c r="C152" s="74"/>
      <c r="D152" s="74"/>
      <c r="E152" s="74"/>
      <c r="F152" s="74"/>
      <c r="G152" s="74"/>
      <c r="H152" s="74"/>
      <c r="I152" s="74"/>
      <c r="J152" s="74"/>
      <c r="K152" s="74"/>
      <c r="L152" s="74"/>
      <c r="M152" s="74"/>
      <c r="N152" s="74"/>
      <c r="O152" s="74"/>
      <c r="P152" s="74"/>
      <c r="Q152" s="74"/>
      <c r="R152" s="74"/>
      <c r="S152" s="74"/>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row>
    <row r="153" spans="1:49">
      <c r="A153" s="173"/>
      <c r="B153" s="79"/>
      <c r="C153" s="74"/>
      <c r="D153" s="74"/>
      <c r="E153" s="74"/>
      <c r="F153" s="74"/>
      <c r="G153" s="74"/>
      <c r="H153" s="74"/>
      <c r="I153" s="74"/>
      <c r="J153" s="74"/>
      <c r="K153" s="74"/>
      <c r="L153" s="74"/>
      <c r="M153" s="74"/>
      <c r="N153" s="74"/>
      <c r="O153" s="74"/>
      <c r="P153" s="74"/>
      <c r="Q153" s="74"/>
      <c r="R153" s="74"/>
      <c r="S153" s="74"/>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row>
    <row r="154" spans="1:49">
      <c r="A154" s="173"/>
      <c r="B154" s="79"/>
      <c r="C154" s="74"/>
      <c r="D154" s="74"/>
      <c r="E154" s="74"/>
      <c r="F154" s="74"/>
      <c r="G154" s="74"/>
      <c r="H154" s="74"/>
      <c r="I154" s="74"/>
      <c r="J154" s="74"/>
      <c r="K154" s="74"/>
      <c r="L154" s="74"/>
      <c r="M154" s="74"/>
      <c r="N154" s="74"/>
      <c r="O154" s="74"/>
      <c r="P154" s="74"/>
      <c r="Q154" s="74"/>
      <c r="R154" s="74"/>
      <c r="S154" s="74"/>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row>
    <row r="155" spans="1:49">
      <c r="A155" s="173"/>
      <c r="B155" s="79"/>
      <c r="C155" s="74"/>
      <c r="D155" s="74"/>
      <c r="E155" s="74"/>
      <c r="F155" s="74"/>
      <c r="G155" s="74"/>
      <c r="H155" s="74"/>
      <c r="I155" s="74"/>
      <c r="J155" s="74"/>
      <c r="K155" s="74"/>
      <c r="L155" s="74"/>
      <c r="M155" s="74"/>
      <c r="N155" s="74"/>
      <c r="O155" s="74"/>
      <c r="P155" s="74"/>
      <c r="Q155" s="74"/>
      <c r="R155" s="74"/>
      <c r="S155" s="74"/>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row>
    <row r="156" spans="1:49">
      <c r="A156" s="173"/>
      <c r="B156" s="79"/>
      <c r="C156" s="74"/>
      <c r="D156" s="74"/>
      <c r="E156" s="74"/>
      <c r="F156" s="74"/>
      <c r="G156" s="74"/>
      <c r="H156" s="74"/>
      <c r="I156" s="74"/>
      <c r="J156" s="74"/>
      <c r="K156" s="74"/>
      <c r="L156" s="74"/>
      <c r="M156" s="74"/>
      <c r="N156" s="74"/>
      <c r="O156" s="74"/>
      <c r="P156" s="74"/>
      <c r="Q156" s="74"/>
      <c r="R156" s="74"/>
      <c r="S156" s="74"/>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row>
    <row r="157" spans="1:49">
      <c r="A157" s="173"/>
      <c r="B157" s="79"/>
      <c r="C157" s="74"/>
      <c r="D157" s="74"/>
      <c r="E157" s="74"/>
      <c r="F157" s="74"/>
      <c r="G157" s="74"/>
      <c r="H157" s="74"/>
      <c r="I157" s="74"/>
      <c r="J157" s="74"/>
      <c r="K157" s="74"/>
      <c r="L157" s="74"/>
      <c r="M157" s="74"/>
      <c r="N157" s="74"/>
      <c r="O157" s="74"/>
      <c r="P157" s="74"/>
      <c r="Q157" s="74"/>
      <c r="R157" s="74"/>
      <c r="S157" s="74"/>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row>
    <row r="158" spans="1:49">
      <c r="A158" s="173"/>
      <c r="B158" s="79"/>
      <c r="C158" s="74"/>
      <c r="D158" s="74"/>
      <c r="E158" s="74"/>
      <c r="F158" s="74"/>
      <c r="G158" s="74"/>
      <c r="H158" s="74"/>
      <c r="I158" s="74"/>
      <c r="J158" s="74"/>
      <c r="K158" s="74"/>
      <c r="L158" s="74"/>
      <c r="M158" s="74"/>
      <c r="N158" s="74"/>
      <c r="O158" s="74"/>
      <c r="P158" s="74"/>
      <c r="Q158" s="74"/>
      <c r="R158" s="74"/>
      <c r="S158" s="74"/>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row>
    <row r="159" spans="1:49">
      <c r="A159" s="173"/>
      <c r="B159" s="79"/>
      <c r="C159" s="74"/>
      <c r="D159" s="74"/>
      <c r="E159" s="74"/>
      <c r="F159" s="74"/>
      <c r="G159" s="74"/>
      <c r="H159" s="74"/>
      <c r="I159" s="74"/>
      <c r="J159" s="74"/>
      <c r="K159" s="74"/>
      <c r="L159" s="74"/>
      <c r="M159" s="74"/>
      <c r="N159" s="74"/>
      <c r="O159" s="74"/>
      <c r="P159" s="74"/>
      <c r="Q159" s="74"/>
      <c r="R159" s="74"/>
      <c r="S159" s="74"/>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row>
    <row r="160" spans="1:49">
      <c r="A160" s="173"/>
      <c r="B160" s="79"/>
      <c r="C160" s="74"/>
      <c r="D160" s="74"/>
      <c r="E160" s="74"/>
      <c r="F160" s="74"/>
      <c r="G160" s="74"/>
      <c r="H160" s="74"/>
      <c r="I160" s="74"/>
      <c r="J160" s="74"/>
      <c r="K160" s="74"/>
      <c r="L160" s="74"/>
      <c r="M160" s="74"/>
      <c r="N160" s="74"/>
      <c r="O160" s="74"/>
      <c r="P160" s="74"/>
      <c r="Q160" s="74"/>
      <c r="R160" s="74"/>
      <c r="S160" s="74"/>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row>
    <row r="161" spans="1:49">
      <c r="A161" s="173"/>
      <c r="B161" s="79"/>
      <c r="C161" s="74"/>
      <c r="D161" s="74"/>
      <c r="E161" s="74"/>
      <c r="F161" s="74"/>
      <c r="G161" s="74"/>
      <c r="H161" s="74"/>
      <c r="I161" s="74"/>
      <c r="J161" s="74"/>
      <c r="K161" s="74"/>
      <c r="L161" s="74"/>
      <c r="M161" s="74"/>
      <c r="N161" s="74"/>
      <c r="O161" s="74"/>
      <c r="P161" s="74"/>
      <c r="Q161" s="74"/>
      <c r="R161" s="74"/>
      <c r="S161" s="74"/>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row>
    <row r="162" spans="1:49">
      <c r="A162" s="173"/>
      <c r="B162" s="79"/>
      <c r="C162" s="74"/>
      <c r="D162" s="74"/>
      <c r="E162" s="74"/>
      <c r="F162" s="74"/>
      <c r="G162" s="74"/>
      <c r="H162" s="74"/>
      <c r="I162" s="74"/>
      <c r="J162" s="74"/>
      <c r="K162" s="74"/>
      <c r="L162" s="74"/>
      <c r="M162" s="74"/>
      <c r="N162" s="74"/>
      <c r="O162" s="74"/>
      <c r="P162" s="74"/>
      <c r="Q162" s="74"/>
      <c r="R162" s="74"/>
      <c r="S162" s="74"/>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row>
    <row r="163" spans="1:49">
      <c r="A163" s="173"/>
      <c r="B163" s="79"/>
      <c r="C163" s="74"/>
      <c r="D163" s="74"/>
      <c r="E163" s="74"/>
      <c r="F163" s="74"/>
      <c r="G163" s="74"/>
      <c r="H163" s="74"/>
      <c r="I163" s="74"/>
      <c r="J163" s="74"/>
      <c r="K163" s="74"/>
      <c r="L163" s="74"/>
      <c r="M163" s="74"/>
      <c r="N163" s="74"/>
      <c r="O163" s="74"/>
      <c r="P163" s="74"/>
      <c r="Q163" s="74"/>
      <c r="R163" s="74"/>
      <c r="S163" s="74"/>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row>
    <row r="164" spans="1:49">
      <c r="A164" s="173"/>
      <c r="B164" s="79"/>
      <c r="C164" s="74"/>
      <c r="D164" s="74"/>
      <c r="E164" s="74"/>
      <c r="F164" s="74"/>
      <c r="G164" s="74"/>
      <c r="H164" s="74"/>
      <c r="I164" s="74"/>
      <c r="J164" s="74"/>
      <c r="K164" s="74"/>
      <c r="L164" s="74"/>
      <c r="M164" s="74"/>
      <c r="N164" s="74"/>
      <c r="O164" s="74"/>
      <c r="P164" s="74"/>
      <c r="Q164" s="74"/>
      <c r="R164" s="74"/>
      <c r="S164" s="74"/>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row>
    <row r="165" spans="1:49">
      <c r="A165" s="173"/>
      <c r="B165" s="79"/>
      <c r="C165" s="74"/>
      <c r="D165" s="74"/>
      <c r="E165" s="74"/>
      <c r="F165" s="74"/>
      <c r="G165" s="74"/>
      <c r="H165" s="74"/>
      <c r="I165" s="74"/>
      <c r="J165" s="74"/>
      <c r="K165" s="74"/>
      <c r="L165" s="74"/>
      <c r="M165" s="74"/>
      <c r="N165" s="74"/>
      <c r="O165" s="74"/>
      <c r="P165" s="74"/>
      <c r="Q165" s="74"/>
      <c r="R165" s="74"/>
      <c r="S165" s="74"/>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row>
    <row r="166" spans="1:49">
      <c r="A166" s="173"/>
      <c r="B166" s="79"/>
      <c r="C166" s="74"/>
      <c r="D166" s="74"/>
      <c r="E166" s="74"/>
      <c r="F166" s="74"/>
      <c r="G166" s="74"/>
      <c r="H166" s="74"/>
      <c r="I166" s="74"/>
      <c r="J166" s="74"/>
      <c r="K166" s="74"/>
      <c r="L166" s="74"/>
      <c r="M166" s="74"/>
      <c r="N166" s="74"/>
      <c r="O166" s="74"/>
      <c r="P166" s="74"/>
      <c r="Q166" s="74"/>
      <c r="R166" s="74"/>
      <c r="S166" s="74"/>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row>
    <row r="167" spans="1:49">
      <c r="A167" s="173"/>
      <c r="B167" s="79"/>
      <c r="C167" s="74"/>
      <c r="D167" s="74"/>
      <c r="E167" s="74"/>
      <c r="F167" s="74"/>
      <c r="G167" s="74"/>
      <c r="H167" s="74"/>
      <c r="I167" s="74"/>
      <c r="J167" s="74"/>
      <c r="K167" s="74"/>
      <c r="L167" s="74"/>
      <c r="M167" s="74"/>
      <c r="N167" s="74"/>
      <c r="O167" s="74"/>
      <c r="P167" s="74"/>
      <c r="Q167" s="74"/>
      <c r="R167" s="74"/>
      <c r="S167" s="74"/>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row>
    <row r="168" spans="1:49">
      <c r="A168" s="173"/>
      <c r="B168" s="79"/>
      <c r="C168" s="74"/>
      <c r="D168" s="74"/>
      <c r="E168" s="74"/>
      <c r="F168" s="74"/>
      <c r="G168" s="74"/>
      <c r="H168" s="74"/>
      <c r="I168" s="74"/>
      <c r="J168" s="74"/>
      <c r="K168" s="74"/>
      <c r="L168" s="74"/>
      <c r="M168" s="74"/>
      <c r="N168" s="74"/>
      <c r="O168" s="74"/>
      <c r="P168" s="74"/>
      <c r="Q168" s="74"/>
      <c r="R168" s="74"/>
      <c r="S168" s="74"/>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row>
    <row r="169" spans="1:49">
      <c r="A169" s="173"/>
      <c r="B169" s="79"/>
      <c r="C169" s="74"/>
      <c r="D169" s="74"/>
      <c r="E169" s="74"/>
      <c r="F169" s="74"/>
      <c r="G169" s="74"/>
      <c r="H169" s="74"/>
      <c r="I169" s="74"/>
      <c r="J169" s="74"/>
      <c r="K169" s="74"/>
      <c r="L169" s="74"/>
      <c r="M169" s="74"/>
      <c r="N169" s="74"/>
      <c r="O169" s="74"/>
      <c r="P169" s="74"/>
      <c r="Q169" s="74"/>
      <c r="R169" s="74"/>
      <c r="S169" s="74"/>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row>
    <row r="170" spans="1:49">
      <c r="A170" s="173"/>
      <c r="B170" s="79"/>
      <c r="C170" s="74"/>
      <c r="D170" s="74"/>
      <c r="E170" s="74"/>
      <c r="F170" s="74"/>
      <c r="G170" s="74"/>
      <c r="H170" s="74"/>
      <c r="I170" s="74"/>
      <c r="J170" s="74"/>
      <c r="K170" s="74"/>
      <c r="L170" s="74"/>
      <c r="M170" s="74"/>
      <c r="N170" s="74"/>
      <c r="O170" s="74"/>
      <c r="P170" s="74"/>
      <c r="Q170" s="74"/>
      <c r="R170" s="74"/>
      <c r="S170" s="74"/>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row>
    <row r="171" spans="1:49">
      <c r="A171" s="173"/>
      <c r="B171" s="79"/>
      <c r="C171" s="74"/>
      <c r="D171" s="74"/>
      <c r="E171" s="74"/>
      <c r="F171" s="74"/>
      <c r="G171" s="74"/>
      <c r="H171" s="74"/>
      <c r="I171" s="74"/>
      <c r="J171" s="74"/>
      <c r="K171" s="74"/>
      <c r="L171" s="74"/>
      <c r="M171" s="74"/>
      <c r="N171" s="74"/>
      <c r="O171" s="74"/>
      <c r="P171" s="74"/>
      <c r="Q171" s="74"/>
      <c r="R171" s="74"/>
      <c r="S171" s="74"/>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row>
    <row r="172" spans="1:49">
      <c r="A172" s="173"/>
      <c r="B172" s="79"/>
      <c r="C172" s="74"/>
      <c r="D172" s="74"/>
      <c r="E172" s="74"/>
      <c r="F172" s="74"/>
      <c r="G172" s="74"/>
      <c r="H172" s="74"/>
      <c r="I172" s="74"/>
      <c r="J172" s="74"/>
      <c r="K172" s="74"/>
      <c r="L172" s="74"/>
      <c r="M172" s="74"/>
      <c r="N172" s="74"/>
      <c r="O172" s="74"/>
      <c r="P172" s="74"/>
      <c r="Q172" s="74"/>
      <c r="R172" s="74"/>
      <c r="S172" s="74"/>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row>
    <row r="173" spans="1:49">
      <c r="A173" s="173"/>
      <c r="B173" s="79"/>
      <c r="C173" s="74"/>
      <c r="D173" s="74"/>
      <c r="E173" s="74"/>
      <c r="F173" s="74"/>
      <c r="G173" s="74"/>
      <c r="H173" s="74"/>
      <c r="I173" s="74"/>
      <c r="J173" s="74"/>
      <c r="K173" s="74"/>
      <c r="L173" s="74"/>
      <c r="M173" s="74"/>
      <c r="N173" s="74"/>
      <c r="O173" s="74"/>
      <c r="P173" s="74"/>
      <c r="Q173" s="74"/>
      <c r="R173" s="74"/>
      <c r="S173" s="74"/>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row>
    <row r="174" spans="1:49">
      <c r="A174" s="173"/>
      <c r="B174" s="79"/>
      <c r="C174" s="74"/>
      <c r="D174" s="74"/>
      <c r="E174" s="74"/>
      <c r="F174" s="74"/>
      <c r="G174" s="74"/>
      <c r="H174" s="74"/>
      <c r="I174" s="74"/>
      <c r="J174" s="74"/>
      <c r="K174" s="74"/>
      <c r="L174" s="74"/>
      <c r="M174" s="74"/>
      <c r="N174" s="74"/>
      <c r="O174" s="74"/>
      <c r="P174" s="74"/>
      <c r="Q174" s="74"/>
      <c r="R174" s="74"/>
      <c r="S174" s="74"/>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row>
    <row r="175" spans="1:49">
      <c r="A175" s="173"/>
      <c r="B175" s="79"/>
      <c r="C175" s="74"/>
      <c r="D175" s="74"/>
      <c r="E175" s="74"/>
      <c r="F175" s="74"/>
      <c r="G175" s="74"/>
      <c r="H175" s="74"/>
      <c r="I175" s="74"/>
      <c r="J175" s="74"/>
      <c r="K175" s="74"/>
      <c r="L175" s="74"/>
      <c r="M175" s="74"/>
      <c r="N175" s="74"/>
      <c r="O175" s="74"/>
      <c r="P175" s="74"/>
      <c r="Q175" s="74"/>
      <c r="R175" s="74"/>
      <c r="S175" s="74"/>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row>
    <row r="176" spans="1:49">
      <c r="A176" s="173"/>
      <c r="B176" s="79"/>
      <c r="C176" s="74"/>
      <c r="D176" s="74"/>
      <c r="E176" s="74"/>
      <c r="F176" s="74"/>
      <c r="G176" s="74"/>
      <c r="H176" s="74"/>
      <c r="I176" s="74"/>
      <c r="J176" s="74"/>
      <c r="K176" s="74"/>
      <c r="L176" s="74"/>
      <c r="M176" s="74"/>
      <c r="N176" s="74"/>
      <c r="O176" s="74"/>
      <c r="P176" s="74"/>
      <c r="Q176" s="74"/>
      <c r="R176" s="74"/>
      <c r="S176" s="74"/>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row>
    <row r="177" spans="1:49">
      <c r="A177" s="173"/>
      <c r="B177" s="79"/>
      <c r="C177" s="74"/>
      <c r="D177" s="74"/>
      <c r="E177" s="74"/>
      <c r="F177" s="74"/>
      <c r="G177" s="74"/>
      <c r="H177" s="74"/>
      <c r="I177" s="74"/>
      <c r="J177" s="74"/>
      <c r="K177" s="74"/>
      <c r="L177" s="74"/>
      <c r="M177" s="74"/>
      <c r="N177" s="74"/>
      <c r="O177" s="74"/>
      <c r="P177" s="74"/>
      <c r="Q177" s="74"/>
      <c r="R177" s="74"/>
      <c r="S177" s="74"/>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row>
    <row r="178" spans="1:49">
      <c r="A178" s="173"/>
      <c r="B178" s="79"/>
      <c r="C178" s="74"/>
      <c r="D178" s="74"/>
      <c r="E178" s="74"/>
      <c r="F178" s="74"/>
      <c r="G178" s="74"/>
      <c r="H178" s="74"/>
      <c r="I178" s="74"/>
      <c r="J178" s="74"/>
      <c r="K178" s="74"/>
      <c r="L178" s="74"/>
      <c r="M178" s="74"/>
      <c r="N178" s="74"/>
      <c r="O178" s="74"/>
      <c r="P178" s="74"/>
      <c r="Q178" s="74"/>
      <c r="R178" s="74"/>
      <c r="S178" s="74"/>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row>
    <row r="179" spans="1:49">
      <c r="A179" s="173"/>
      <c r="B179" s="79"/>
      <c r="C179" s="74"/>
      <c r="D179" s="74"/>
      <c r="E179" s="74"/>
      <c r="F179" s="74"/>
      <c r="G179" s="74"/>
      <c r="H179" s="74"/>
      <c r="I179" s="74"/>
      <c r="J179" s="74"/>
      <c r="K179" s="74"/>
      <c r="L179" s="74"/>
      <c r="M179" s="74"/>
      <c r="N179" s="74"/>
      <c r="O179" s="74"/>
      <c r="P179" s="74"/>
      <c r="Q179" s="74"/>
      <c r="R179" s="74"/>
      <c r="S179" s="74"/>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row>
    <row r="180" spans="1:49">
      <c r="A180" s="173"/>
      <c r="B180" s="79"/>
      <c r="C180" s="74"/>
      <c r="D180" s="74"/>
      <c r="E180" s="74"/>
      <c r="F180" s="74"/>
      <c r="G180" s="74"/>
      <c r="H180" s="74"/>
      <c r="I180" s="74"/>
      <c r="J180" s="74"/>
      <c r="K180" s="74"/>
      <c r="L180" s="74"/>
      <c r="M180" s="74"/>
      <c r="N180" s="74"/>
      <c r="O180" s="74"/>
      <c r="P180" s="74"/>
      <c r="Q180" s="74"/>
      <c r="R180" s="74"/>
      <c r="S180" s="74"/>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row>
    <row r="181" spans="1:49">
      <c r="A181" s="173"/>
      <c r="B181" s="79"/>
      <c r="C181" s="74"/>
      <c r="D181" s="74"/>
      <c r="E181" s="74"/>
      <c r="F181" s="74"/>
      <c r="G181" s="74"/>
      <c r="H181" s="74"/>
      <c r="I181" s="74"/>
      <c r="J181" s="74"/>
      <c r="K181" s="74"/>
      <c r="L181" s="74"/>
      <c r="M181" s="74"/>
      <c r="N181" s="74"/>
      <c r="O181" s="74"/>
      <c r="P181" s="74"/>
      <c r="Q181" s="74"/>
      <c r="R181" s="74"/>
      <c r="S181" s="74"/>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row>
    <row r="182" spans="1:49">
      <c r="A182" s="173"/>
      <c r="B182" s="79"/>
      <c r="C182" s="74"/>
      <c r="D182" s="74"/>
      <c r="E182" s="74"/>
      <c r="F182" s="74"/>
      <c r="G182" s="74"/>
      <c r="H182" s="74"/>
      <c r="I182" s="74"/>
      <c r="J182" s="74"/>
      <c r="K182" s="74"/>
      <c r="L182" s="74"/>
      <c r="M182" s="74"/>
      <c r="N182" s="74"/>
      <c r="O182" s="74"/>
      <c r="P182" s="74"/>
      <c r="Q182" s="74"/>
      <c r="R182" s="74"/>
      <c r="S182" s="74"/>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row>
    <row r="183" spans="1:49">
      <c r="A183" s="173"/>
      <c r="B183" s="79"/>
      <c r="C183" s="74"/>
      <c r="D183" s="74"/>
      <c r="E183" s="74"/>
      <c r="F183" s="74"/>
      <c r="G183" s="74"/>
      <c r="H183" s="74"/>
      <c r="I183" s="74"/>
      <c r="J183" s="74"/>
      <c r="K183" s="74"/>
      <c r="L183" s="74"/>
      <c r="M183" s="74"/>
      <c r="N183" s="74"/>
      <c r="O183" s="74"/>
      <c r="P183" s="74"/>
      <c r="Q183" s="74"/>
      <c r="R183" s="74"/>
      <c r="S183" s="74"/>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row>
    <row r="184" spans="1:49">
      <c r="A184" s="173"/>
      <c r="B184" s="79"/>
      <c r="C184" s="74"/>
      <c r="D184" s="74"/>
      <c r="E184" s="74"/>
      <c r="F184" s="74"/>
      <c r="G184" s="74"/>
      <c r="H184" s="74"/>
      <c r="I184" s="74"/>
      <c r="J184" s="74"/>
      <c r="K184" s="74"/>
      <c r="L184" s="74"/>
      <c r="M184" s="74"/>
      <c r="N184" s="74"/>
      <c r="O184" s="74"/>
      <c r="P184" s="74"/>
      <c r="Q184" s="74"/>
      <c r="R184" s="74"/>
      <c r="S184" s="74"/>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row>
    <row r="185" spans="1:49">
      <c r="A185" s="173"/>
      <c r="B185" s="79"/>
      <c r="C185" s="74"/>
      <c r="D185" s="74"/>
      <c r="E185" s="74"/>
      <c r="F185" s="74"/>
      <c r="G185" s="74"/>
      <c r="H185" s="74"/>
      <c r="I185" s="74"/>
      <c r="J185" s="74"/>
      <c r="K185" s="74"/>
      <c r="L185" s="74"/>
      <c r="M185" s="74"/>
      <c r="N185" s="74"/>
      <c r="O185" s="74"/>
      <c r="P185" s="74"/>
      <c r="Q185" s="74"/>
      <c r="R185" s="74"/>
      <c r="S185" s="74"/>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row>
    <row r="186" spans="1:49">
      <c r="A186" s="173"/>
      <c r="B186" s="79"/>
      <c r="C186" s="74"/>
      <c r="D186" s="74"/>
      <c r="E186" s="74"/>
      <c r="F186" s="74"/>
      <c r="G186" s="74"/>
      <c r="H186" s="74"/>
      <c r="I186" s="74"/>
      <c r="J186" s="74"/>
      <c r="K186" s="74"/>
      <c r="L186" s="74"/>
      <c r="M186" s="74"/>
      <c r="N186" s="74"/>
      <c r="O186" s="74"/>
      <c r="P186" s="74"/>
      <c r="Q186" s="74"/>
      <c r="R186" s="74"/>
      <c r="S186" s="74"/>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row>
    <row r="187" spans="1:49">
      <c r="A187" s="173"/>
      <c r="B187" s="79"/>
      <c r="C187" s="74"/>
      <c r="D187" s="74"/>
      <c r="E187" s="74"/>
      <c r="F187" s="74"/>
      <c r="G187" s="74"/>
      <c r="H187" s="74"/>
      <c r="I187" s="74"/>
      <c r="J187" s="74"/>
      <c r="K187" s="74"/>
      <c r="L187" s="74"/>
      <c r="M187" s="74"/>
      <c r="N187" s="74"/>
      <c r="O187" s="74"/>
      <c r="P187" s="74"/>
      <c r="Q187" s="74"/>
      <c r="R187" s="74"/>
      <c r="S187" s="74"/>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row>
    <row r="188" spans="1:49">
      <c r="A188" s="173"/>
      <c r="B188" s="79"/>
      <c r="C188" s="74"/>
      <c r="D188" s="74"/>
      <c r="E188" s="74"/>
      <c r="F188" s="74"/>
      <c r="G188" s="74"/>
      <c r="H188" s="74"/>
      <c r="I188" s="74"/>
      <c r="J188" s="74"/>
      <c r="K188" s="74"/>
      <c r="L188" s="74"/>
      <c r="M188" s="74"/>
      <c r="N188" s="74"/>
      <c r="O188" s="74"/>
      <c r="P188" s="74"/>
      <c r="Q188" s="74"/>
      <c r="R188" s="74"/>
      <c r="S188" s="74"/>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row>
    <row r="189" spans="1:49">
      <c r="A189" s="173"/>
      <c r="B189" s="79"/>
      <c r="C189" s="74"/>
      <c r="D189" s="74"/>
      <c r="E189" s="74"/>
      <c r="F189" s="74"/>
      <c r="G189" s="74"/>
      <c r="H189" s="74"/>
      <c r="I189" s="74"/>
      <c r="J189" s="74"/>
      <c r="K189" s="74"/>
      <c r="L189" s="74"/>
      <c r="M189" s="74"/>
      <c r="N189" s="74"/>
      <c r="O189" s="74"/>
      <c r="P189" s="74"/>
      <c r="Q189" s="74"/>
      <c r="R189" s="74"/>
      <c r="S189" s="74"/>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row>
    <row r="190" spans="1:49">
      <c r="A190" s="173"/>
      <c r="B190" s="79"/>
      <c r="C190" s="74"/>
      <c r="D190" s="74"/>
      <c r="E190" s="74"/>
      <c r="F190" s="74"/>
      <c r="G190" s="74"/>
      <c r="H190" s="74"/>
      <c r="I190" s="74"/>
      <c r="J190" s="74"/>
      <c r="K190" s="74"/>
      <c r="L190" s="74"/>
      <c r="M190" s="74"/>
      <c r="N190" s="74"/>
      <c r="O190" s="74"/>
      <c r="P190" s="74"/>
      <c r="Q190" s="74"/>
      <c r="R190" s="74"/>
      <c r="S190" s="74"/>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row>
    <row r="191" spans="1:49">
      <c r="A191" s="173"/>
      <c r="B191" s="79"/>
      <c r="C191" s="74"/>
      <c r="D191" s="74"/>
      <c r="E191" s="74"/>
      <c r="F191" s="74"/>
      <c r="G191" s="74"/>
      <c r="H191" s="74"/>
      <c r="I191" s="74"/>
      <c r="J191" s="74"/>
      <c r="K191" s="74"/>
      <c r="L191" s="74"/>
      <c r="M191" s="74"/>
      <c r="N191" s="74"/>
      <c r="O191" s="74"/>
      <c r="P191" s="74"/>
      <c r="Q191" s="74"/>
      <c r="R191" s="74"/>
      <c r="S191" s="74"/>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row>
    <row r="192" spans="1:49">
      <c r="A192" s="173"/>
      <c r="B192" s="79"/>
      <c r="C192" s="74"/>
      <c r="D192" s="74"/>
      <c r="E192" s="74"/>
      <c r="F192" s="74"/>
      <c r="G192" s="74"/>
      <c r="H192" s="74"/>
      <c r="I192" s="74"/>
      <c r="J192" s="74"/>
      <c r="K192" s="74"/>
      <c r="L192" s="74"/>
      <c r="M192" s="74"/>
      <c r="N192" s="74"/>
      <c r="O192" s="74"/>
      <c r="P192" s="74"/>
      <c r="Q192" s="74"/>
      <c r="R192" s="74"/>
      <c r="S192" s="74"/>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row>
    <row r="193" spans="1:49">
      <c r="A193" s="173"/>
      <c r="B193" s="79"/>
      <c r="C193" s="74"/>
      <c r="D193" s="74"/>
      <c r="E193" s="74"/>
      <c r="F193" s="74"/>
      <c r="G193" s="74"/>
      <c r="H193" s="74"/>
      <c r="I193" s="74"/>
      <c r="J193" s="74"/>
      <c r="K193" s="74"/>
      <c r="L193" s="74"/>
      <c r="M193" s="74"/>
      <c r="N193" s="74"/>
      <c r="O193" s="74"/>
      <c r="P193" s="74"/>
      <c r="Q193" s="74"/>
      <c r="R193" s="74"/>
      <c r="S193" s="74"/>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row>
    <row r="194" spans="1:49">
      <c r="A194" s="173"/>
      <c r="B194" s="79"/>
      <c r="C194" s="74"/>
      <c r="D194" s="74"/>
      <c r="E194" s="74"/>
      <c r="F194" s="74"/>
      <c r="G194" s="74"/>
      <c r="H194" s="74"/>
      <c r="I194" s="74"/>
      <c r="J194" s="74"/>
      <c r="K194" s="74"/>
      <c r="L194" s="74"/>
      <c r="M194" s="74"/>
      <c r="N194" s="74"/>
      <c r="O194" s="74"/>
      <c r="P194" s="74"/>
      <c r="Q194" s="74"/>
      <c r="R194" s="74"/>
      <c r="S194" s="74"/>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row>
    <row r="195" spans="1:49">
      <c r="A195" s="173"/>
      <c r="B195" s="79"/>
      <c r="C195" s="74"/>
      <c r="D195" s="74"/>
      <c r="E195" s="74"/>
      <c r="F195" s="74"/>
      <c r="G195" s="74"/>
      <c r="H195" s="74"/>
      <c r="I195" s="74"/>
      <c r="J195" s="74"/>
      <c r="K195" s="74"/>
      <c r="L195" s="74"/>
      <c r="M195" s="74"/>
      <c r="N195" s="74"/>
      <c r="O195" s="74"/>
      <c r="P195" s="74"/>
      <c r="Q195" s="74"/>
      <c r="R195" s="74"/>
      <c r="S195" s="74"/>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row>
    <row r="196" spans="1:49">
      <c r="A196" s="173"/>
      <c r="B196" s="79"/>
      <c r="C196" s="74"/>
      <c r="D196" s="74"/>
      <c r="E196" s="74"/>
      <c r="F196" s="74"/>
      <c r="G196" s="74"/>
      <c r="H196" s="74"/>
      <c r="I196" s="74"/>
      <c r="J196" s="74"/>
      <c r="K196" s="74"/>
      <c r="L196" s="74"/>
      <c r="M196" s="74"/>
      <c r="N196" s="74"/>
      <c r="O196" s="74"/>
      <c r="P196" s="74"/>
      <c r="Q196" s="74"/>
      <c r="R196" s="74"/>
      <c r="S196" s="74"/>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row>
    <row r="197" spans="1:49">
      <c r="A197" s="173"/>
      <c r="B197" s="79"/>
      <c r="C197" s="74"/>
      <c r="D197" s="74"/>
      <c r="E197" s="74"/>
      <c r="F197" s="74"/>
      <c r="G197" s="74"/>
      <c r="H197" s="74"/>
      <c r="I197" s="74"/>
      <c r="J197" s="74"/>
      <c r="K197" s="74"/>
      <c r="L197" s="74"/>
      <c r="M197" s="74"/>
      <c r="N197" s="74"/>
      <c r="O197" s="74"/>
      <c r="P197" s="74"/>
      <c r="Q197" s="74"/>
      <c r="R197" s="74"/>
      <c r="S197" s="74"/>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row>
    <row r="198" spans="1:49">
      <c r="A198" s="173"/>
      <c r="B198" s="79"/>
      <c r="C198" s="74"/>
      <c r="D198" s="74"/>
      <c r="E198" s="74"/>
      <c r="F198" s="74"/>
      <c r="G198" s="74"/>
      <c r="H198" s="74"/>
      <c r="I198" s="74"/>
      <c r="J198" s="74"/>
      <c r="K198" s="74"/>
      <c r="L198" s="74"/>
      <c r="M198" s="74"/>
      <c r="N198" s="74"/>
      <c r="O198" s="74"/>
      <c r="P198" s="74"/>
      <c r="Q198" s="74"/>
      <c r="R198" s="74"/>
      <c r="S198" s="74"/>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row>
    <row r="199" spans="1:49">
      <c r="A199" s="173"/>
      <c r="B199" s="79"/>
      <c r="C199" s="74"/>
      <c r="D199" s="74"/>
      <c r="E199" s="74"/>
      <c r="F199" s="74"/>
      <c r="G199" s="74"/>
      <c r="H199" s="74"/>
      <c r="I199" s="74"/>
      <c r="J199" s="74"/>
      <c r="K199" s="74"/>
      <c r="L199" s="74"/>
      <c r="M199" s="74"/>
      <c r="N199" s="74"/>
      <c r="O199" s="74"/>
      <c r="P199" s="74"/>
      <c r="Q199" s="74"/>
      <c r="R199" s="74"/>
      <c r="S199" s="74"/>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row>
    <row r="200" spans="1:49">
      <c r="A200" s="173"/>
      <c r="B200" s="79"/>
      <c r="C200" s="74"/>
      <c r="D200" s="74"/>
      <c r="E200" s="74"/>
      <c r="F200" s="74"/>
      <c r="G200" s="74"/>
      <c r="H200" s="74"/>
      <c r="I200" s="74"/>
      <c r="J200" s="74"/>
      <c r="K200" s="74"/>
      <c r="L200" s="74"/>
      <c r="M200" s="74"/>
      <c r="N200" s="74"/>
      <c r="O200" s="74"/>
      <c r="P200" s="74"/>
      <c r="Q200" s="74"/>
      <c r="R200" s="74"/>
      <c r="S200" s="74"/>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row>
    <row r="201" spans="1:49">
      <c r="A201" s="173"/>
      <c r="B201" s="79"/>
      <c r="C201" s="74"/>
      <c r="D201" s="74"/>
      <c r="E201" s="74"/>
      <c r="F201" s="74"/>
      <c r="G201" s="74"/>
      <c r="H201" s="74"/>
      <c r="I201" s="74"/>
      <c r="J201" s="74"/>
      <c r="K201" s="74"/>
      <c r="L201" s="74"/>
      <c r="M201" s="74"/>
      <c r="N201" s="74"/>
      <c r="O201" s="74"/>
      <c r="P201" s="74"/>
      <c r="Q201" s="74"/>
      <c r="R201" s="74"/>
      <c r="S201" s="74"/>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row>
    <row r="202" spans="1:49">
      <c r="A202" s="173"/>
      <c r="B202" s="79"/>
      <c r="C202" s="74"/>
      <c r="D202" s="74"/>
      <c r="E202" s="74"/>
      <c r="F202" s="74"/>
      <c r="G202" s="74"/>
      <c r="H202" s="74"/>
      <c r="I202" s="74"/>
      <c r="J202" s="74"/>
      <c r="K202" s="74"/>
      <c r="L202" s="74"/>
      <c r="M202" s="74"/>
      <c r="N202" s="74"/>
      <c r="O202" s="74"/>
      <c r="P202" s="74"/>
      <c r="Q202" s="74"/>
      <c r="R202" s="74"/>
      <c r="S202" s="74"/>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row>
    <row r="203" spans="1:49">
      <c r="A203" s="173"/>
      <c r="B203" s="79"/>
      <c r="C203" s="74"/>
      <c r="D203" s="74"/>
      <c r="E203" s="74"/>
      <c r="F203" s="74"/>
      <c r="G203" s="74"/>
      <c r="H203" s="74"/>
      <c r="I203" s="74"/>
      <c r="J203" s="74"/>
      <c r="K203" s="74"/>
      <c r="L203" s="74"/>
      <c r="M203" s="74"/>
      <c r="N203" s="74"/>
      <c r="O203" s="74"/>
      <c r="P203" s="74"/>
      <c r="Q203" s="74"/>
      <c r="R203" s="74"/>
      <c r="S203" s="74"/>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row>
    <row r="204" spans="1:49">
      <c r="A204" s="173"/>
      <c r="B204" s="79"/>
      <c r="C204" s="74"/>
      <c r="D204" s="74"/>
      <c r="E204" s="74"/>
      <c r="F204" s="74"/>
      <c r="G204" s="74"/>
      <c r="H204" s="74"/>
      <c r="I204" s="74"/>
      <c r="J204" s="74"/>
      <c r="K204" s="74"/>
      <c r="L204" s="74"/>
      <c r="M204" s="74"/>
      <c r="N204" s="74"/>
      <c r="O204" s="74"/>
      <c r="P204" s="74"/>
      <c r="Q204" s="74"/>
      <c r="R204" s="74"/>
      <c r="S204" s="74"/>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row>
    <row r="205" spans="1:49">
      <c r="A205" s="173"/>
      <c r="B205" s="79"/>
      <c r="C205" s="74"/>
      <c r="D205" s="74"/>
      <c r="E205" s="74"/>
      <c r="F205" s="74"/>
      <c r="G205" s="74"/>
      <c r="H205" s="74"/>
      <c r="I205" s="74"/>
      <c r="J205" s="74"/>
      <c r="K205" s="74"/>
      <c r="L205" s="74"/>
      <c r="M205" s="74"/>
      <c r="N205" s="74"/>
      <c r="O205" s="74"/>
      <c r="P205" s="74"/>
      <c r="Q205" s="74"/>
      <c r="R205" s="74"/>
      <c r="S205" s="74"/>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row>
    <row r="206" spans="1:49">
      <c r="A206" s="173"/>
      <c r="B206" s="79"/>
      <c r="C206" s="74"/>
      <c r="D206" s="74"/>
      <c r="E206" s="74"/>
      <c r="F206" s="74"/>
      <c r="G206" s="74"/>
      <c r="H206" s="74"/>
      <c r="I206" s="74"/>
      <c r="J206" s="74"/>
      <c r="K206" s="74"/>
      <c r="L206" s="74"/>
      <c r="M206" s="74"/>
      <c r="N206" s="74"/>
      <c r="O206" s="74"/>
      <c r="P206" s="74"/>
      <c r="Q206" s="74"/>
      <c r="R206" s="74"/>
      <c r="S206" s="74"/>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row>
    <row r="207" spans="1:49">
      <c r="A207" s="173"/>
      <c r="B207" s="79"/>
      <c r="C207" s="74"/>
      <c r="D207" s="74"/>
      <c r="E207" s="74"/>
      <c r="F207" s="74"/>
      <c r="G207" s="74"/>
      <c r="H207" s="74"/>
      <c r="I207" s="74"/>
      <c r="J207" s="74"/>
      <c r="K207" s="74"/>
      <c r="L207" s="74"/>
      <c r="M207" s="74"/>
      <c r="N207" s="74"/>
      <c r="O207" s="74"/>
      <c r="P207" s="74"/>
      <c r="Q207" s="74"/>
      <c r="R207" s="74"/>
      <c r="S207" s="74"/>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row>
    <row r="208" spans="1:49">
      <c r="A208" s="173"/>
      <c r="B208" s="79"/>
      <c r="C208" s="74"/>
      <c r="D208" s="74"/>
      <c r="E208" s="74"/>
      <c r="F208" s="74"/>
      <c r="G208" s="74"/>
      <c r="H208" s="74"/>
      <c r="I208" s="74"/>
      <c r="J208" s="74"/>
      <c r="K208" s="74"/>
      <c r="L208" s="74"/>
      <c r="M208" s="74"/>
      <c r="N208" s="74"/>
      <c r="O208" s="74"/>
      <c r="P208" s="74"/>
      <c r="Q208" s="74"/>
      <c r="R208" s="74"/>
      <c r="S208" s="74"/>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row>
    <row r="209" spans="1:49">
      <c r="A209" s="173"/>
      <c r="B209" s="79"/>
      <c r="C209" s="74"/>
      <c r="D209" s="74"/>
      <c r="E209" s="74"/>
      <c r="F209" s="74"/>
      <c r="G209" s="74"/>
      <c r="H209" s="74"/>
      <c r="I209" s="74"/>
      <c r="J209" s="74"/>
      <c r="K209" s="74"/>
      <c r="L209" s="74"/>
      <c r="M209" s="74"/>
      <c r="N209" s="74"/>
      <c r="O209" s="74"/>
      <c r="P209" s="74"/>
      <c r="Q209" s="74"/>
      <c r="R209" s="74"/>
      <c r="S209" s="74"/>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row>
    <row r="210" spans="1:49">
      <c r="A210" s="173"/>
      <c r="B210" s="79"/>
      <c r="C210" s="74"/>
      <c r="D210" s="74"/>
      <c r="E210" s="74"/>
      <c r="F210" s="74"/>
      <c r="G210" s="74"/>
      <c r="H210" s="74"/>
      <c r="I210" s="74"/>
      <c r="J210" s="74"/>
      <c r="K210" s="74"/>
      <c r="L210" s="74"/>
      <c r="M210" s="74"/>
      <c r="N210" s="74"/>
      <c r="O210" s="74"/>
      <c r="P210" s="74"/>
      <c r="Q210" s="74"/>
      <c r="R210" s="74"/>
      <c r="S210" s="74"/>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row>
    <row r="211" spans="1:49">
      <c r="A211" s="173"/>
      <c r="B211" s="79"/>
      <c r="C211" s="74"/>
      <c r="D211" s="74"/>
      <c r="E211" s="74"/>
      <c r="F211" s="74"/>
      <c r="G211" s="74"/>
      <c r="H211" s="74"/>
      <c r="I211" s="74"/>
      <c r="J211" s="74"/>
      <c r="K211" s="74"/>
      <c r="L211" s="74"/>
      <c r="M211" s="74"/>
      <c r="N211" s="74"/>
      <c r="O211" s="74"/>
      <c r="P211" s="74"/>
      <c r="Q211" s="74"/>
      <c r="R211" s="74"/>
      <c r="S211" s="74"/>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row>
    <row r="212" spans="1:49">
      <c r="A212" s="173"/>
      <c r="B212" s="79"/>
      <c r="C212" s="74"/>
      <c r="D212" s="74"/>
      <c r="E212" s="74"/>
      <c r="F212" s="74"/>
      <c r="G212" s="74"/>
      <c r="H212" s="74"/>
      <c r="I212" s="74"/>
      <c r="J212" s="74"/>
      <c r="K212" s="74"/>
      <c r="L212" s="74"/>
      <c r="M212" s="74"/>
      <c r="N212" s="74"/>
      <c r="O212" s="74"/>
      <c r="P212" s="74"/>
      <c r="Q212" s="74"/>
      <c r="R212" s="74"/>
      <c r="S212" s="74"/>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row>
    <row r="213" spans="1:49">
      <c r="A213" s="173"/>
      <c r="B213" s="79"/>
      <c r="C213" s="74"/>
      <c r="D213" s="74"/>
      <c r="E213" s="74"/>
      <c r="F213" s="74"/>
      <c r="G213" s="74"/>
      <c r="H213" s="74"/>
      <c r="I213" s="74"/>
      <c r="J213" s="74"/>
      <c r="K213" s="74"/>
      <c r="L213" s="74"/>
      <c r="M213" s="74"/>
      <c r="N213" s="74"/>
      <c r="O213" s="74"/>
      <c r="P213" s="74"/>
      <c r="Q213" s="74"/>
      <c r="R213" s="74"/>
      <c r="S213" s="74"/>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row>
    <row r="214" spans="1:49">
      <c r="A214" s="173"/>
      <c r="B214" s="79"/>
      <c r="C214" s="74"/>
      <c r="D214" s="74"/>
      <c r="E214" s="74"/>
      <c r="F214" s="74"/>
      <c r="G214" s="74"/>
      <c r="H214" s="74"/>
      <c r="I214" s="74"/>
      <c r="J214" s="74"/>
      <c r="K214" s="74"/>
      <c r="L214" s="74"/>
      <c r="M214" s="74"/>
      <c r="N214" s="74"/>
      <c r="O214" s="74"/>
      <c r="P214" s="74"/>
      <c r="Q214" s="74"/>
      <c r="R214" s="74"/>
      <c r="S214" s="74"/>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row>
    <row r="215" spans="1:49">
      <c r="A215" s="173"/>
      <c r="B215" s="79"/>
      <c r="C215" s="74"/>
      <c r="D215" s="74"/>
      <c r="E215" s="74"/>
      <c r="F215" s="74"/>
      <c r="G215" s="74"/>
      <c r="H215" s="74"/>
      <c r="I215" s="74"/>
      <c r="J215" s="74"/>
      <c r="K215" s="74"/>
      <c r="L215" s="74"/>
      <c r="M215" s="74"/>
      <c r="N215" s="74"/>
      <c r="O215" s="74"/>
      <c r="P215" s="74"/>
      <c r="Q215" s="74"/>
      <c r="R215" s="74"/>
      <c r="S215" s="74"/>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row>
    <row r="216" spans="1:49">
      <c r="A216" s="173"/>
      <c r="B216" s="79"/>
      <c r="C216" s="74"/>
      <c r="D216" s="74"/>
      <c r="E216" s="74"/>
      <c r="F216" s="74"/>
      <c r="G216" s="74"/>
      <c r="H216" s="74"/>
      <c r="I216" s="74"/>
      <c r="J216" s="74"/>
      <c r="K216" s="74"/>
      <c r="L216" s="74"/>
      <c r="M216" s="74"/>
      <c r="N216" s="74"/>
      <c r="O216" s="74"/>
      <c r="P216" s="74"/>
      <c r="Q216" s="74"/>
      <c r="R216" s="74"/>
      <c r="S216" s="74"/>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row>
    <row r="217" spans="1:49">
      <c r="A217" s="173"/>
      <c r="B217" s="79"/>
      <c r="C217" s="74"/>
      <c r="D217" s="74"/>
      <c r="E217" s="74"/>
      <c r="F217" s="74"/>
      <c r="G217" s="74"/>
      <c r="H217" s="74"/>
      <c r="I217" s="74"/>
      <c r="J217" s="74"/>
      <c r="K217" s="74"/>
      <c r="L217" s="74"/>
      <c r="M217" s="74"/>
      <c r="N217" s="74"/>
      <c r="O217" s="74"/>
      <c r="P217" s="74"/>
      <c r="Q217" s="74"/>
      <c r="R217" s="74"/>
      <c r="S217" s="74"/>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row>
    <row r="218" spans="1:49">
      <c r="A218" s="173"/>
      <c r="B218" s="79"/>
      <c r="C218" s="74"/>
      <c r="D218" s="74"/>
      <c r="E218" s="74"/>
      <c r="F218" s="74"/>
      <c r="G218" s="74"/>
      <c r="H218" s="74"/>
      <c r="I218" s="74"/>
      <c r="J218" s="74"/>
      <c r="K218" s="74"/>
      <c r="L218" s="74"/>
      <c r="M218" s="74"/>
      <c r="N218" s="74"/>
      <c r="O218" s="74"/>
      <c r="P218" s="74"/>
      <c r="Q218" s="74"/>
      <c r="R218" s="74"/>
      <c r="S218" s="74"/>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row>
    <row r="219" spans="1:49">
      <c r="A219" s="173"/>
      <c r="B219" s="79"/>
      <c r="C219" s="74"/>
      <c r="D219" s="74"/>
      <c r="E219" s="74"/>
      <c r="F219" s="74"/>
      <c r="G219" s="74"/>
      <c r="H219" s="74"/>
      <c r="I219" s="74"/>
      <c r="J219" s="74"/>
      <c r="K219" s="74"/>
      <c r="L219" s="74"/>
      <c r="M219" s="74"/>
      <c r="N219" s="74"/>
      <c r="O219" s="74"/>
      <c r="P219" s="74"/>
      <c r="Q219" s="74"/>
      <c r="R219" s="74"/>
      <c r="S219" s="74"/>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row>
    <row r="220" spans="1:49">
      <c r="A220" s="173"/>
      <c r="B220" s="79"/>
      <c r="C220" s="74"/>
      <c r="D220" s="74"/>
      <c r="E220" s="74"/>
      <c r="F220" s="74"/>
      <c r="G220" s="74"/>
      <c r="H220" s="74"/>
      <c r="I220" s="74"/>
      <c r="J220" s="74"/>
      <c r="K220" s="74"/>
      <c r="L220" s="74"/>
      <c r="M220" s="74"/>
      <c r="N220" s="74"/>
      <c r="O220" s="74"/>
      <c r="P220" s="74"/>
      <c r="Q220" s="74"/>
      <c r="R220" s="74"/>
      <c r="S220" s="74"/>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row>
    <row r="221" spans="1:49">
      <c r="A221" s="173"/>
      <c r="B221" s="79"/>
      <c r="C221" s="74"/>
      <c r="D221" s="74"/>
      <c r="E221" s="74"/>
      <c r="F221" s="74"/>
      <c r="G221" s="74"/>
      <c r="H221" s="74"/>
      <c r="I221" s="74"/>
      <c r="J221" s="74"/>
      <c r="K221" s="74"/>
      <c r="L221" s="74"/>
      <c r="M221" s="74"/>
      <c r="N221" s="74"/>
      <c r="O221" s="74"/>
      <c r="P221" s="74"/>
      <c r="Q221" s="74"/>
      <c r="R221" s="74"/>
      <c r="S221" s="74"/>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row>
    <row r="222" spans="1:49">
      <c r="A222" s="173"/>
      <c r="B222" s="79"/>
      <c r="C222" s="74"/>
      <c r="D222" s="74"/>
      <c r="E222" s="74"/>
      <c r="F222" s="74"/>
      <c r="G222" s="74"/>
      <c r="H222" s="74"/>
      <c r="I222" s="74"/>
      <c r="J222" s="74"/>
      <c r="K222" s="74"/>
      <c r="L222" s="74"/>
      <c r="M222" s="74"/>
      <c r="N222" s="74"/>
      <c r="O222" s="74"/>
      <c r="P222" s="74"/>
      <c r="Q222" s="74"/>
      <c r="R222" s="74"/>
      <c r="S222" s="74"/>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row>
    <row r="223" spans="1:49">
      <c r="A223" s="173"/>
      <c r="B223" s="79"/>
      <c r="C223" s="74"/>
      <c r="D223" s="74"/>
      <c r="E223" s="74"/>
      <c r="F223" s="74"/>
      <c r="G223" s="74"/>
      <c r="H223" s="74"/>
      <c r="I223" s="74"/>
      <c r="J223" s="74"/>
      <c r="K223" s="74"/>
      <c r="L223" s="74"/>
      <c r="M223" s="74"/>
      <c r="N223" s="74"/>
      <c r="O223" s="74"/>
      <c r="P223" s="74"/>
      <c r="Q223" s="74"/>
      <c r="R223" s="74"/>
      <c r="S223" s="74"/>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row>
    <row r="224" spans="1:49">
      <c r="A224" s="173"/>
      <c r="B224" s="79"/>
      <c r="C224" s="74"/>
      <c r="D224" s="74"/>
      <c r="E224" s="74"/>
      <c r="F224" s="74"/>
      <c r="G224" s="74"/>
      <c r="H224" s="74"/>
      <c r="I224" s="74"/>
      <c r="J224" s="74"/>
      <c r="K224" s="74"/>
      <c r="L224" s="74"/>
      <c r="M224" s="74"/>
      <c r="N224" s="74"/>
      <c r="O224" s="74"/>
      <c r="P224" s="74"/>
      <c r="Q224" s="74"/>
      <c r="R224" s="74"/>
      <c r="S224" s="74"/>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row>
    <row r="225" spans="1:49">
      <c r="A225" s="173"/>
      <c r="B225" s="79"/>
      <c r="C225" s="74"/>
      <c r="D225" s="74"/>
      <c r="E225" s="74"/>
      <c r="F225" s="74"/>
      <c r="G225" s="74"/>
      <c r="H225" s="74"/>
      <c r="I225" s="74"/>
      <c r="J225" s="74"/>
      <c r="K225" s="74"/>
      <c r="L225" s="74"/>
      <c r="M225" s="74"/>
      <c r="N225" s="74"/>
      <c r="O225" s="74"/>
      <c r="P225" s="74"/>
      <c r="Q225" s="74"/>
      <c r="R225" s="74"/>
      <c r="S225" s="74"/>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row>
    <row r="226" spans="1:49">
      <c r="A226" s="173"/>
      <c r="B226" s="79"/>
      <c r="C226" s="74"/>
      <c r="D226" s="74"/>
      <c r="E226" s="74"/>
      <c r="F226" s="74"/>
      <c r="G226" s="74"/>
      <c r="H226" s="74"/>
      <c r="I226" s="74"/>
      <c r="J226" s="74"/>
      <c r="K226" s="74"/>
      <c r="L226" s="74"/>
      <c r="M226" s="74"/>
      <c r="N226" s="74"/>
      <c r="O226" s="74"/>
      <c r="P226" s="74"/>
      <c r="Q226" s="74"/>
      <c r="R226" s="74"/>
      <c r="S226" s="74"/>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row>
    <row r="227" spans="1:49">
      <c r="A227" s="173"/>
      <c r="B227" s="79"/>
      <c r="C227" s="74"/>
      <c r="D227" s="74"/>
      <c r="E227" s="74"/>
      <c r="F227" s="74"/>
      <c r="G227" s="74"/>
      <c r="H227" s="74"/>
      <c r="I227" s="74"/>
      <c r="J227" s="74"/>
      <c r="K227" s="74"/>
      <c r="L227" s="74"/>
      <c r="M227" s="74"/>
      <c r="N227" s="74"/>
      <c r="O227" s="74"/>
      <c r="P227" s="74"/>
      <c r="Q227" s="74"/>
      <c r="R227" s="74"/>
      <c r="S227" s="74"/>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row>
    <row r="228" spans="1:49">
      <c r="A228" s="173"/>
      <c r="B228" s="79"/>
      <c r="C228" s="74"/>
      <c r="D228" s="74"/>
      <c r="E228" s="74"/>
      <c r="F228" s="74"/>
      <c r="G228" s="74"/>
      <c r="H228" s="74"/>
      <c r="I228" s="74"/>
      <c r="J228" s="74"/>
      <c r="K228" s="74"/>
      <c r="L228" s="74"/>
      <c r="M228" s="74"/>
      <c r="N228" s="74"/>
      <c r="O228" s="74"/>
      <c r="P228" s="74"/>
      <c r="Q228" s="74"/>
      <c r="R228" s="74"/>
      <c r="S228" s="74"/>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row>
    <row r="229" spans="1:49">
      <c r="A229" s="173"/>
      <c r="B229" s="79"/>
      <c r="C229" s="74"/>
      <c r="D229" s="74"/>
      <c r="E229" s="74"/>
      <c r="F229" s="74"/>
      <c r="G229" s="74"/>
      <c r="H229" s="74"/>
      <c r="I229" s="74"/>
      <c r="J229" s="74"/>
      <c r="K229" s="74"/>
      <c r="L229" s="74"/>
      <c r="M229" s="74"/>
      <c r="N229" s="74"/>
      <c r="O229" s="74"/>
      <c r="P229" s="74"/>
      <c r="Q229" s="74"/>
      <c r="R229" s="74"/>
      <c r="S229" s="74"/>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row>
    <row r="230" spans="1:49">
      <c r="A230" s="173"/>
      <c r="B230" s="79"/>
      <c r="C230" s="74"/>
      <c r="D230" s="74"/>
      <c r="E230" s="74"/>
      <c r="F230" s="74"/>
      <c r="G230" s="74"/>
      <c r="H230" s="74"/>
      <c r="I230" s="74"/>
      <c r="J230" s="74"/>
      <c r="K230" s="74"/>
      <c r="L230" s="74"/>
      <c r="M230" s="74"/>
      <c r="N230" s="74"/>
      <c r="O230" s="74"/>
      <c r="P230" s="74"/>
      <c r="Q230" s="74"/>
      <c r="R230" s="74"/>
      <c r="S230" s="74"/>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row>
    <row r="231" spans="1:49">
      <c r="A231" s="173"/>
      <c r="B231" s="79"/>
      <c r="C231" s="74"/>
      <c r="D231" s="74"/>
      <c r="E231" s="74"/>
      <c r="F231" s="74"/>
      <c r="G231" s="74"/>
      <c r="H231" s="74"/>
      <c r="I231" s="74"/>
      <c r="J231" s="74"/>
      <c r="K231" s="74"/>
      <c r="L231" s="74"/>
      <c r="M231" s="74"/>
      <c r="N231" s="74"/>
      <c r="O231" s="74"/>
      <c r="P231" s="74"/>
      <c r="Q231" s="74"/>
      <c r="R231" s="74"/>
      <c r="S231" s="74"/>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row>
    <row r="232" spans="1:49">
      <c r="A232" s="173"/>
      <c r="B232" s="79"/>
      <c r="C232" s="74"/>
      <c r="D232" s="74"/>
      <c r="E232" s="74"/>
      <c r="F232" s="74"/>
      <c r="G232" s="74"/>
      <c r="H232" s="74"/>
      <c r="I232" s="74"/>
      <c r="J232" s="74"/>
      <c r="K232" s="74"/>
      <c r="L232" s="74"/>
      <c r="M232" s="74"/>
      <c r="N232" s="74"/>
      <c r="O232" s="74"/>
      <c r="P232" s="74"/>
      <c r="Q232" s="74"/>
      <c r="R232" s="74"/>
      <c r="S232" s="74"/>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row>
    <row r="233" spans="1:49">
      <c r="A233" s="173"/>
      <c r="B233" s="79"/>
      <c r="C233" s="74"/>
      <c r="D233" s="74"/>
      <c r="E233" s="74"/>
      <c r="F233" s="74"/>
      <c r="G233" s="74"/>
      <c r="H233" s="74"/>
      <c r="I233" s="74"/>
      <c r="J233" s="74"/>
      <c r="K233" s="74"/>
      <c r="L233" s="74"/>
      <c r="M233" s="74"/>
      <c r="N233" s="74"/>
      <c r="O233" s="74"/>
      <c r="P233" s="74"/>
      <c r="Q233" s="74"/>
      <c r="R233" s="74"/>
      <c r="S233" s="74"/>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row>
    <row r="234" spans="1:49">
      <c r="A234" s="173"/>
      <c r="B234" s="79"/>
      <c r="C234" s="74"/>
      <c r="D234" s="74"/>
      <c r="E234" s="74"/>
      <c r="F234" s="74"/>
      <c r="G234" s="74"/>
      <c r="H234" s="74"/>
      <c r="I234" s="74"/>
      <c r="J234" s="74"/>
      <c r="K234" s="74"/>
      <c r="L234" s="74"/>
      <c r="M234" s="74"/>
      <c r="N234" s="74"/>
      <c r="O234" s="74"/>
      <c r="P234" s="74"/>
      <c r="Q234" s="74"/>
      <c r="R234" s="74"/>
      <c r="S234" s="74"/>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row>
    <row r="235" spans="1:49">
      <c r="A235" s="173"/>
      <c r="B235" s="79"/>
      <c r="C235" s="74"/>
      <c r="D235" s="74"/>
      <c r="E235" s="74"/>
      <c r="F235" s="74"/>
      <c r="G235" s="74"/>
      <c r="H235" s="74"/>
      <c r="I235" s="74"/>
      <c r="J235" s="74"/>
      <c r="K235" s="74"/>
      <c r="L235" s="74"/>
      <c r="M235" s="74"/>
      <c r="N235" s="74"/>
      <c r="O235" s="74"/>
      <c r="P235" s="74"/>
      <c r="Q235" s="74"/>
      <c r="R235" s="74"/>
      <c r="S235" s="74"/>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row>
    <row r="236" spans="1:49">
      <c r="A236" s="173"/>
      <c r="B236" s="79"/>
      <c r="C236" s="74"/>
      <c r="D236" s="74"/>
      <c r="E236" s="74"/>
      <c r="F236" s="74"/>
      <c r="G236" s="74"/>
      <c r="H236" s="74"/>
      <c r="I236" s="74"/>
      <c r="J236" s="74"/>
      <c r="K236" s="74"/>
      <c r="L236" s="74"/>
      <c r="M236" s="74"/>
      <c r="N236" s="74"/>
      <c r="O236" s="74"/>
      <c r="P236" s="74"/>
      <c r="Q236" s="74"/>
      <c r="R236" s="74"/>
      <c r="S236" s="74"/>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row>
    <row r="237" spans="1:49">
      <c r="A237" s="173"/>
      <c r="B237" s="79"/>
      <c r="C237" s="74"/>
      <c r="D237" s="74"/>
      <c r="E237" s="74"/>
      <c r="F237" s="74"/>
      <c r="G237" s="74"/>
      <c r="H237" s="74"/>
      <c r="I237" s="74"/>
      <c r="J237" s="74"/>
      <c r="K237" s="74"/>
      <c r="L237" s="74"/>
      <c r="M237" s="74"/>
      <c r="N237" s="74"/>
      <c r="O237" s="74"/>
      <c r="P237" s="74"/>
      <c r="Q237" s="74"/>
      <c r="R237" s="74"/>
      <c r="S237" s="74"/>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row>
    <row r="238" spans="1:49">
      <c r="A238" s="173"/>
      <c r="B238" s="79"/>
      <c r="C238" s="74"/>
      <c r="D238" s="74"/>
      <c r="E238" s="74"/>
      <c r="F238" s="74"/>
      <c r="G238" s="74"/>
      <c r="H238" s="74"/>
      <c r="I238" s="74"/>
      <c r="J238" s="74"/>
      <c r="K238" s="74"/>
      <c r="L238" s="74"/>
      <c r="M238" s="74"/>
      <c r="N238" s="74"/>
      <c r="O238" s="74"/>
      <c r="P238" s="74"/>
      <c r="Q238" s="74"/>
      <c r="R238" s="74"/>
      <c r="S238" s="74"/>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row>
    <row r="239" spans="1:49">
      <c r="A239" s="173"/>
      <c r="B239" s="79"/>
      <c r="C239" s="74"/>
      <c r="D239" s="74"/>
      <c r="E239" s="74"/>
      <c r="F239" s="74"/>
      <c r="G239" s="74"/>
      <c r="H239" s="74"/>
      <c r="I239" s="74"/>
      <c r="J239" s="74"/>
      <c r="K239" s="74"/>
      <c r="L239" s="74"/>
      <c r="M239" s="74"/>
      <c r="N239" s="74"/>
      <c r="O239" s="74"/>
      <c r="P239" s="74"/>
      <c r="Q239" s="74"/>
      <c r="R239" s="74"/>
      <c r="S239" s="74"/>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row>
    <row r="240" spans="1:49">
      <c r="A240" s="173"/>
      <c r="B240" s="79"/>
      <c r="C240" s="74"/>
      <c r="D240" s="74"/>
      <c r="E240" s="74"/>
      <c r="F240" s="74"/>
      <c r="G240" s="74"/>
      <c r="H240" s="74"/>
      <c r="I240" s="74"/>
      <c r="J240" s="74"/>
      <c r="K240" s="74"/>
      <c r="L240" s="74"/>
      <c r="M240" s="74"/>
      <c r="N240" s="74"/>
      <c r="O240" s="74"/>
      <c r="P240" s="74"/>
      <c r="Q240" s="74"/>
      <c r="R240" s="74"/>
      <c r="S240" s="74"/>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row>
    <row r="241" spans="1:49">
      <c r="A241" s="173"/>
      <c r="B241" s="79"/>
      <c r="C241" s="74"/>
      <c r="D241" s="74"/>
      <c r="E241" s="74"/>
      <c r="F241" s="74"/>
      <c r="G241" s="74"/>
      <c r="H241" s="74"/>
      <c r="I241" s="74"/>
      <c r="J241" s="74"/>
      <c r="K241" s="74"/>
      <c r="L241" s="74"/>
      <c r="M241" s="74"/>
      <c r="N241" s="74"/>
      <c r="O241" s="74"/>
      <c r="P241" s="74"/>
      <c r="Q241" s="74"/>
      <c r="R241" s="74"/>
      <c r="S241" s="74"/>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row>
    <row r="242" spans="1:49">
      <c r="A242" s="173"/>
      <c r="B242" s="79"/>
      <c r="C242" s="74"/>
      <c r="D242" s="74"/>
      <c r="E242" s="74"/>
      <c r="F242" s="74"/>
      <c r="G242" s="74"/>
      <c r="H242" s="74"/>
      <c r="I242" s="74"/>
      <c r="J242" s="74"/>
      <c r="K242" s="74"/>
      <c r="L242" s="74"/>
      <c r="M242" s="74"/>
      <c r="N242" s="74"/>
      <c r="O242" s="74"/>
      <c r="P242" s="74"/>
      <c r="Q242" s="74"/>
      <c r="R242" s="74"/>
      <c r="S242" s="74"/>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row>
    <row r="243" spans="1:49">
      <c r="A243" s="173"/>
      <c r="B243" s="79"/>
      <c r="C243" s="74"/>
      <c r="D243" s="74"/>
      <c r="E243" s="74"/>
      <c r="F243" s="74"/>
      <c r="G243" s="74"/>
      <c r="H243" s="74"/>
      <c r="I243" s="74"/>
      <c r="J243" s="74"/>
      <c r="K243" s="74"/>
      <c r="L243" s="74"/>
      <c r="M243" s="74"/>
      <c r="N243" s="74"/>
      <c r="O243" s="74"/>
      <c r="P243" s="74"/>
      <c r="Q243" s="74"/>
      <c r="R243" s="74"/>
      <c r="S243" s="74"/>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row>
    <row r="244" spans="1:49">
      <c r="A244" s="173"/>
      <c r="B244" s="79"/>
      <c r="C244" s="74"/>
      <c r="D244" s="74"/>
      <c r="E244" s="74"/>
      <c r="F244" s="74"/>
      <c r="G244" s="74"/>
      <c r="H244" s="74"/>
      <c r="I244" s="74"/>
      <c r="J244" s="74"/>
      <c r="K244" s="74"/>
      <c r="L244" s="74"/>
      <c r="M244" s="74"/>
      <c r="N244" s="74"/>
      <c r="O244" s="74"/>
      <c r="P244" s="74"/>
      <c r="Q244" s="74"/>
      <c r="R244" s="74"/>
      <c r="S244" s="74"/>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row>
    <row r="245" spans="1:49">
      <c r="A245" s="173"/>
      <c r="B245" s="79"/>
      <c r="C245" s="74"/>
      <c r="D245" s="74"/>
      <c r="E245" s="74"/>
      <c r="F245" s="74"/>
      <c r="G245" s="74"/>
      <c r="H245" s="74"/>
      <c r="I245" s="74"/>
      <c r="J245" s="74"/>
      <c r="K245" s="74"/>
      <c r="L245" s="74"/>
      <c r="M245" s="74"/>
      <c r="N245" s="74"/>
      <c r="O245" s="74"/>
      <c r="P245" s="74"/>
      <c r="Q245" s="74"/>
      <c r="R245" s="74"/>
      <c r="S245" s="74"/>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row>
    <row r="246" spans="1:49">
      <c r="A246" s="173"/>
      <c r="B246" s="79"/>
      <c r="C246" s="74"/>
      <c r="D246" s="74"/>
      <c r="E246" s="74"/>
      <c r="F246" s="74"/>
      <c r="G246" s="74"/>
      <c r="H246" s="74"/>
      <c r="I246" s="74"/>
      <c r="J246" s="74"/>
      <c r="K246" s="74"/>
      <c r="L246" s="74"/>
      <c r="M246" s="74"/>
      <c r="N246" s="74"/>
      <c r="O246" s="74"/>
      <c r="P246" s="74"/>
      <c r="Q246" s="74"/>
      <c r="R246" s="74"/>
      <c r="S246" s="74"/>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row>
    <row r="247" spans="1:49">
      <c r="A247" s="173"/>
      <c r="B247" s="79"/>
      <c r="C247" s="74"/>
      <c r="D247" s="74"/>
      <c r="E247" s="74"/>
      <c r="F247" s="74"/>
      <c r="G247" s="74"/>
      <c r="H247" s="74"/>
      <c r="I247" s="74"/>
      <c r="J247" s="74"/>
      <c r="K247" s="74"/>
      <c r="L247" s="74"/>
      <c r="M247" s="74"/>
      <c r="N247" s="74"/>
      <c r="O247" s="74"/>
      <c r="P247" s="74"/>
      <c r="Q247" s="74"/>
      <c r="R247" s="74"/>
      <c r="S247" s="74"/>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row>
    <row r="248" spans="1:49">
      <c r="A248" s="173"/>
      <c r="B248" s="79"/>
      <c r="C248" s="74"/>
      <c r="D248" s="74"/>
      <c r="E248" s="74"/>
      <c r="F248" s="74"/>
      <c r="G248" s="74"/>
      <c r="H248" s="74"/>
      <c r="I248" s="74"/>
      <c r="J248" s="74"/>
      <c r="K248" s="74"/>
      <c r="L248" s="74"/>
      <c r="M248" s="74"/>
      <c r="N248" s="74"/>
      <c r="O248" s="74"/>
      <c r="P248" s="74"/>
      <c r="Q248" s="74"/>
      <c r="R248" s="74"/>
      <c r="S248" s="74"/>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row>
    <row r="249" spans="1:49">
      <c r="A249" s="173"/>
      <c r="B249" s="79"/>
      <c r="C249" s="74"/>
      <c r="D249" s="74"/>
      <c r="E249" s="74"/>
      <c r="F249" s="74"/>
      <c r="G249" s="74"/>
      <c r="H249" s="74"/>
      <c r="I249" s="74"/>
      <c r="J249" s="74"/>
      <c r="K249" s="74"/>
      <c r="L249" s="74"/>
      <c r="M249" s="74"/>
      <c r="N249" s="74"/>
      <c r="O249" s="74"/>
      <c r="P249" s="74"/>
      <c r="Q249" s="74"/>
      <c r="R249" s="74"/>
      <c r="S249" s="74"/>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row>
    <row r="250" spans="1:49">
      <c r="A250" s="173"/>
      <c r="B250" s="79"/>
      <c r="C250" s="74"/>
      <c r="D250" s="74"/>
      <c r="E250" s="74"/>
      <c r="F250" s="74"/>
      <c r="G250" s="74"/>
      <c r="H250" s="74"/>
      <c r="I250" s="74"/>
      <c r="J250" s="74"/>
      <c r="K250" s="74"/>
      <c r="L250" s="74"/>
      <c r="M250" s="74"/>
      <c r="N250" s="74"/>
      <c r="O250" s="74"/>
      <c r="P250" s="74"/>
      <c r="Q250" s="74"/>
      <c r="R250" s="74"/>
      <c r="S250" s="74"/>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row>
    <row r="251" spans="1:49">
      <c r="A251" s="173"/>
      <c r="B251" s="79"/>
      <c r="C251" s="74"/>
      <c r="D251" s="74"/>
      <c r="E251" s="74"/>
      <c r="F251" s="74"/>
      <c r="G251" s="74"/>
      <c r="H251" s="74"/>
      <c r="I251" s="74"/>
      <c r="J251" s="74"/>
      <c r="K251" s="74"/>
      <c r="L251" s="74"/>
      <c r="M251" s="74"/>
      <c r="N251" s="74"/>
      <c r="O251" s="74"/>
      <c r="P251" s="74"/>
      <c r="Q251" s="74"/>
      <c r="R251" s="74"/>
      <c r="S251" s="74"/>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row>
    <row r="252" spans="1:49">
      <c r="A252" s="173"/>
      <c r="B252" s="79"/>
      <c r="C252" s="74"/>
      <c r="D252" s="74"/>
      <c r="E252" s="74"/>
      <c r="F252" s="74"/>
      <c r="G252" s="74"/>
      <c r="H252" s="74"/>
      <c r="I252" s="74"/>
      <c r="J252" s="74"/>
      <c r="K252" s="74"/>
      <c r="L252" s="74"/>
      <c r="M252" s="74"/>
      <c r="N252" s="74"/>
      <c r="O252" s="74"/>
      <c r="P252" s="74"/>
      <c r="Q252" s="74"/>
      <c r="R252" s="74"/>
      <c r="S252" s="74"/>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row>
    <row r="253" spans="1:49">
      <c r="A253" s="173"/>
      <c r="B253" s="79"/>
      <c r="C253" s="74"/>
      <c r="D253" s="74"/>
      <c r="E253" s="74"/>
      <c r="F253" s="74"/>
      <c r="G253" s="74"/>
      <c r="H253" s="74"/>
      <c r="I253" s="74"/>
      <c r="J253" s="74"/>
      <c r="K253" s="74"/>
      <c r="L253" s="74"/>
      <c r="M253" s="74"/>
      <c r="N253" s="74"/>
      <c r="O253" s="74"/>
      <c r="P253" s="74"/>
      <c r="Q253" s="74"/>
      <c r="R253" s="74"/>
      <c r="S253" s="74"/>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row>
    <row r="254" spans="1:49">
      <c r="A254" s="173"/>
      <c r="B254" s="79"/>
      <c r="C254" s="74"/>
      <c r="D254" s="74"/>
      <c r="E254" s="74"/>
      <c r="F254" s="74"/>
      <c r="G254" s="74"/>
      <c r="H254" s="74"/>
      <c r="I254" s="74"/>
      <c r="J254" s="74"/>
      <c r="K254" s="74"/>
      <c r="L254" s="74"/>
      <c r="M254" s="74"/>
      <c r="N254" s="74"/>
      <c r="O254" s="74"/>
      <c r="P254" s="74"/>
      <c r="Q254" s="74"/>
      <c r="R254" s="74"/>
      <c r="S254" s="74"/>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row>
    <row r="255" spans="1:49">
      <c r="A255" s="173"/>
      <c r="B255" s="79"/>
      <c r="C255" s="74"/>
      <c r="D255" s="74"/>
      <c r="E255" s="74"/>
      <c r="F255" s="74"/>
      <c r="G255" s="74"/>
      <c r="H255" s="74"/>
      <c r="I255" s="74"/>
      <c r="J255" s="74"/>
      <c r="K255" s="74"/>
      <c r="L255" s="74"/>
      <c r="M255" s="74"/>
      <c r="N255" s="74"/>
      <c r="O255" s="74"/>
      <c r="P255" s="74"/>
      <c r="Q255" s="74"/>
      <c r="R255" s="74"/>
      <c r="S255" s="74"/>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row>
    <row r="256" spans="1:49">
      <c r="A256" s="173"/>
      <c r="B256" s="79"/>
      <c r="C256" s="74"/>
      <c r="D256" s="74"/>
      <c r="E256" s="74"/>
      <c r="F256" s="74"/>
      <c r="G256" s="74"/>
      <c r="H256" s="74"/>
      <c r="I256" s="74"/>
      <c r="J256" s="74"/>
      <c r="K256" s="74"/>
      <c r="L256" s="74"/>
      <c r="M256" s="74"/>
      <c r="N256" s="74"/>
      <c r="O256" s="74"/>
      <c r="P256" s="74"/>
      <c r="Q256" s="74"/>
      <c r="R256" s="74"/>
      <c r="S256" s="74"/>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row>
    <row r="257" spans="1:49">
      <c r="A257" s="173"/>
      <c r="B257" s="79"/>
      <c r="C257" s="74"/>
      <c r="D257" s="74"/>
      <c r="E257" s="74"/>
      <c r="F257" s="74"/>
      <c r="G257" s="74"/>
      <c r="H257" s="74"/>
      <c r="I257" s="74"/>
      <c r="J257" s="74"/>
      <c r="K257" s="74"/>
      <c r="L257" s="74"/>
      <c r="M257" s="74"/>
      <c r="N257" s="74"/>
      <c r="O257" s="74"/>
      <c r="P257" s="74"/>
      <c r="Q257" s="74"/>
      <c r="R257" s="74"/>
      <c r="S257" s="74"/>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row>
    <row r="258" spans="1:49">
      <c r="A258" s="173"/>
      <c r="B258" s="79"/>
      <c r="C258" s="74"/>
      <c r="D258" s="74"/>
      <c r="E258" s="74"/>
      <c r="F258" s="74"/>
      <c r="G258" s="74"/>
      <c r="H258" s="74"/>
      <c r="I258" s="74"/>
      <c r="J258" s="74"/>
      <c r="K258" s="74"/>
      <c r="L258" s="74"/>
      <c r="M258" s="74"/>
      <c r="N258" s="74"/>
      <c r="O258" s="74"/>
      <c r="P258" s="74"/>
      <c r="Q258" s="74"/>
      <c r="R258" s="74"/>
      <c r="S258" s="74"/>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row>
    <row r="259" spans="1:49">
      <c r="A259" s="173"/>
      <c r="B259" s="79"/>
      <c r="C259" s="74"/>
      <c r="D259" s="74"/>
      <c r="E259" s="74"/>
      <c r="F259" s="74"/>
      <c r="G259" s="74"/>
      <c r="H259" s="74"/>
      <c r="I259" s="74"/>
      <c r="J259" s="74"/>
      <c r="K259" s="74"/>
      <c r="L259" s="74"/>
      <c r="M259" s="74"/>
      <c r="N259" s="74"/>
      <c r="O259" s="74"/>
      <c r="P259" s="74"/>
      <c r="Q259" s="74"/>
      <c r="R259" s="74"/>
      <c r="S259" s="74"/>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row>
    <row r="260" spans="1:49">
      <c r="A260" s="173"/>
      <c r="B260" s="79"/>
      <c r="C260" s="74"/>
      <c r="D260" s="74"/>
      <c r="E260" s="74"/>
      <c r="F260" s="74"/>
      <c r="G260" s="74"/>
      <c r="H260" s="74"/>
      <c r="I260" s="74"/>
      <c r="J260" s="74"/>
      <c r="K260" s="74"/>
      <c r="L260" s="74"/>
      <c r="M260" s="74"/>
      <c r="N260" s="74"/>
      <c r="O260" s="74"/>
      <c r="P260" s="74"/>
      <c r="Q260" s="74"/>
      <c r="R260" s="74"/>
      <c r="S260" s="74"/>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row>
    <row r="261" spans="1:49">
      <c r="A261" s="173"/>
      <c r="B261" s="79"/>
      <c r="C261" s="74"/>
      <c r="D261" s="74"/>
      <c r="E261" s="74"/>
      <c r="F261" s="74"/>
      <c r="G261" s="74"/>
      <c r="H261" s="74"/>
      <c r="I261" s="74"/>
      <c r="J261" s="74"/>
      <c r="K261" s="74"/>
      <c r="L261" s="74"/>
      <c r="M261" s="74"/>
      <c r="N261" s="74"/>
      <c r="O261" s="74"/>
      <c r="P261" s="74"/>
      <c r="Q261" s="74"/>
      <c r="R261" s="74"/>
      <c r="S261" s="74"/>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row>
    <row r="262" spans="1:49">
      <c r="A262" s="173"/>
      <c r="B262" s="79"/>
      <c r="C262" s="74"/>
      <c r="D262" s="74"/>
      <c r="E262" s="74"/>
      <c r="F262" s="74"/>
      <c r="G262" s="74"/>
      <c r="H262" s="74"/>
      <c r="I262" s="74"/>
      <c r="J262" s="74"/>
      <c r="K262" s="74"/>
      <c r="L262" s="74"/>
      <c r="M262" s="74"/>
      <c r="N262" s="74"/>
      <c r="O262" s="74"/>
      <c r="P262" s="74"/>
      <c r="Q262" s="74"/>
      <c r="R262" s="74"/>
      <c r="S262" s="74"/>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row>
    <row r="263" spans="1:49">
      <c r="A263" s="173"/>
      <c r="B263" s="79"/>
      <c r="C263" s="74"/>
      <c r="D263" s="74"/>
      <c r="E263" s="74"/>
      <c r="F263" s="74"/>
      <c r="G263" s="74"/>
      <c r="H263" s="74"/>
      <c r="I263" s="74"/>
      <c r="J263" s="74"/>
      <c r="K263" s="74"/>
      <c r="L263" s="74"/>
      <c r="M263" s="74"/>
      <c r="N263" s="74"/>
      <c r="O263" s="74"/>
      <c r="P263" s="74"/>
      <c r="Q263" s="74"/>
      <c r="R263" s="74"/>
      <c r="S263" s="74"/>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row>
    <row r="264" spans="1:49">
      <c r="A264" s="173"/>
      <c r="B264" s="79"/>
      <c r="C264" s="74"/>
      <c r="D264" s="74"/>
      <c r="E264" s="74"/>
      <c r="F264" s="160"/>
      <c r="G264" s="160"/>
      <c r="H264" s="74"/>
      <c r="I264" s="74"/>
      <c r="J264" s="74"/>
      <c r="K264" s="160"/>
      <c r="L264" s="160"/>
      <c r="M264" s="74"/>
      <c r="N264" s="74"/>
      <c r="O264" s="74"/>
      <c r="P264" s="160"/>
      <c r="Q264" s="160"/>
      <c r="R264" s="74"/>
      <c r="S264" s="74"/>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row>
    <row r="265" spans="1:49">
      <c r="A265" s="173"/>
      <c r="B265" s="79"/>
      <c r="C265" s="74"/>
      <c r="D265" s="74"/>
      <c r="E265" s="74"/>
      <c r="F265" s="160"/>
      <c r="G265" s="160"/>
      <c r="H265" s="74"/>
      <c r="I265" s="74"/>
      <c r="J265" s="74"/>
      <c r="K265" s="160"/>
      <c r="L265" s="160"/>
      <c r="M265" s="74"/>
      <c r="N265" s="74"/>
      <c r="O265" s="74"/>
      <c r="P265" s="160"/>
      <c r="Q265" s="160"/>
      <c r="R265" s="74"/>
      <c r="S265" s="74"/>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row>
    <row r="266" spans="1:49">
      <c r="A266" s="173"/>
      <c r="B266" s="79"/>
      <c r="C266" s="74"/>
      <c r="D266" s="74"/>
      <c r="E266" s="74"/>
      <c r="F266" s="160"/>
      <c r="G266" s="160"/>
      <c r="H266" s="74"/>
      <c r="I266" s="74"/>
      <c r="J266" s="74"/>
      <c r="K266" s="160"/>
      <c r="L266" s="160"/>
      <c r="M266" s="74"/>
      <c r="N266" s="74"/>
      <c r="O266" s="74"/>
      <c r="P266" s="160"/>
      <c r="Q266" s="160"/>
      <c r="R266" s="74"/>
      <c r="S266" s="74"/>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row>
    <row r="267" spans="1:49">
      <c r="A267" s="173"/>
      <c r="B267" s="79"/>
      <c r="C267" s="74"/>
      <c r="D267" s="74"/>
      <c r="E267" s="74"/>
      <c r="F267" s="160"/>
      <c r="G267" s="160"/>
      <c r="H267" s="74"/>
      <c r="I267" s="74"/>
      <c r="J267" s="74"/>
      <c r="K267" s="160"/>
      <c r="L267" s="160"/>
      <c r="M267" s="74"/>
      <c r="N267" s="74"/>
      <c r="O267" s="74"/>
      <c r="P267" s="160"/>
      <c r="Q267" s="160"/>
      <c r="R267" s="74"/>
      <c r="S267" s="74"/>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row>
    <row r="268" spans="1:49">
      <c r="A268" s="173"/>
      <c r="B268" s="79"/>
      <c r="C268" s="74"/>
      <c r="D268" s="74"/>
      <c r="E268" s="74"/>
      <c r="F268" s="160"/>
      <c r="G268" s="160"/>
      <c r="H268" s="74"/>
      <c r="I268" s="74"/>
      <c r="J268" s="74"/>
      <c r="K268" s="160"/>
      <c r="L268" s="160"/>
      <c r="M268" s="74"/>
      <c r="N268" s="74"/>
      <c r="O268" s="74"/>
      <c r="P268" s="160"/>
      <c r="Q268" s="160"/>
      <c r="R268" s="74"/>
      <c r="S268" s="74"/>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row>
    <row r="269" spans="1:49">
      <c r="A269" s="173"/>
      <c r="B269" s="79"/>
      <c r="C269" s="74"/>
      <c r="D269" s="74"/>
      <c r="E269" s="74"/>
      <c r="F269" s="160"/>
      <c r="G269" s="160"/>
      <c r="H269" s="74"/>
      <c r="I269" s="74"/>
      <c r="J269" s="74"/>
      <c r="K269" s="160"/>
      <c r="L269" s="160"/>
      <c r="M269" s="74"/>
      <c r="N269" s="74"/>
      <c r="O269" s="74"/>
      <c r="P269" s="160"/>
      <c r="Q269" s="160"/>
      <c r="R269" s="74"/>
      <c r="S269" s="74"/>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row>
    <row r="270" spans="1:49">
      <c r="A270" s="173"/>
      <c r="B270" s="79"/>
      <c r="C270" s="74"/>
      <c r="D270" s="74"/>
      <c r="E270" s="74"/>
      <c r="F270" s="160"/>
      <c r="G270" s="160"/>
      <c r="H270" s="74"/>
      <c r="I270" s="74"/>
      <c r="J270" s="74"/>
      <c r="K270" s="160"/>
      <c r="L270" s="160"/>
      <c r="M270" s="74"/>
      <c r="N270" s="74"/>
      <c r="O270" s="74"/>
      <c r="P270" s="160"/>
      <c r="Q270" s="160"/>
      <c r="R270" s="74"/>
      <c r="S270" s="74"/>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row>
    <row r="271" spans="1:49">
      <c r="A271" s="173"/>
      <c r="B271" s="79"/>
      <c r="C271" s="74"/>
      <c r="D271" s="74"/>
      <c r="E271" s="74"/>
      <c r="F271" s="160"/>
      <c r="G271" s="160"/>
      <c r="H271" s="74"/>
      <c r="I271" s="74"/>
      <c r="J271" s="74"/>
      <c r="K271" s="160"/>
      <c r="L271" s="160"/>
      <c r="M271" s="74"/>
      <c r="N271" s="74"/>
      <c r="O271" s="74"/>
      <c r="P271" s="160"/>
      <c r="Q271" s="160"/>
      <c r="R271" s="74"/>
      <c r="S271" s="74"/>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row>
    <row r="272" spans="1:49">
      <c r="A272" s="173"/>
      <c r="B272" s="79"/>
      <c r="C272" s="74"/>
      <c r="D272" s="74"/>
      <c r="E272" s="74"/>
      <c r="F272" s="160"/>
      <c r="G272" s="160"/>
      <c r="H272" s="74"/>
      <c r="I272" s="74"/>
      <c r="J272" s="74"/>
      <c r="K272" s="160"/>
      <c r="L272" s="160"/>
      <c r="M272" s="74"/>
      <c r="N272" s="74"/>
      <c r="O272" s="74"/>
      <c r="P272" s="160"/>
      <c r="Q272" s="160"/>
      <c r="R272" s="74"/>
      <c r="S272" s="74"/>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row>
    <row r="273" spans="1:49">
      <c r="A273" s="173"/>
      <c r="B273" s="79"/>
      <c r="C273" s="74"/>
      <c r="D273" s="74"/>
      <c r="E273" s="74"/>
      <c r="F273" s="160"/>
      <c r="G273" s="160"/>
      <c r="H273" s="74"/>
      <c r="I273" s="74"/>
      <c r="J273" s="74"/>
      <c r="K273" s="160"/>
      <c r="L273" s="160"/>
      <c r="M273" s="74"/>
      <c r="N273" s="74"/>
      <c r="O273" s="74"/>
      <c r="P273" s="160"/>
      <c r="Q273" s="160"/>
      <c r="R273" s="74"/>
      <c r="S273" s="74"/>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row>
    <row r="274" spans="1:49">
      <c r="A274" s="173"/>
      <c r="B274" s="79"/>
      <c r="C274" s="74"/>
      <c r="D274" s="74"/>
      <c r="E274" s="74"/>
      <c r="F274" s="160"/>
      <c r="G274" s="160"/>
      <c r="H274" s="74"/>
      <c r="I274" s="74"/>
      <c r="J274" s="74"/>
      <c r="K274" s="160"/>
      <c r="L274" s="160"/>
      <c r="M274" s="74"/>
      <c r="N274" s="74"/>
      <c r="O274" s="74"/>
      <c r="P274" s="160"/>
      <c r="Q274" s="160"/>
      <c r="R274" s="74"/>
      <c r="S274" s="74"/>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row>
    <row r="275" spans="1:49">
      <c r="A275" s="173"/>
      <c r="B275" s="79"/>
      <c r="C275" s="74"/>
      <c r="D275" s="74"/>
      <c r="E275" s="74"/>
      <c r="F275" s="160"/>
      <c r="G275" s="160"/>
      <c r="H275" s="74"/>
      <c r="I275" s="74"/>
      <c r="J275" s="74"/>
      <c r="K275" s="160"/>
      <c r="L275" s="160"/>
      <c r="M275" s="74"/>
      <c r="N275" s="74"/>
      <c r="O275" s="74"/>
      <c r="P275" s="160"/>
      <c r="Q275" s="160"/>
      <c r="R275" s="74"/>
      <c r="S275" s="74"/>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row>
    <row r="276" spans="1:49">
      <c r="A276" s="173"/>
      <c r="B276" s="79"/>
      <c r="C276" s="74"/>
      <c r="D276" s="74"/>
      <c r="E276" s="74"/>
      <c r="F276" s="160"/>
      <c r="G276" s="160"/>
      <c r="H276" s="74"/>
      <c r="I276" s="74"/>
      <c r="J276" s="74"/>
      <c r="K276" s="160"/>
      <c r="L276" s="160"/>
      <c r="M276" s="74"/>
      <c r="N276" s="74"/>
      <c r="O276" s="74"/>
      <c r="P276" s="160"/>
      <c r="Q276" s="160"/>
      <c r="R276" s="74"/>
      <c r="S276" s="74"/>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row>
    <row r="277" spans="1:49">
      <c r="A277" s="173"/>
      <c r="B277" s="79"/>
      <c r="C277" s="74"/>
      <c r="D277" s="74"/>
      <c r="E277" s="74"/>
      <c r="F277" s="160"/>
      <c r="G277" s="160"/>
      <c r="H277" s="74"/>
      <c r="I277" s="74"/>
      <c r="J277" s="74"/>
      <c r="K277" s="160"/>
      <c r="L277" s="160"/>
      <c r="M277" s="74"/>
      <c r="N277" s="74"/>
      <c r="O277" s="74"/>
      <c r="P277" s="160"/>
      <c r="Q277" s="160"/>
      <c r="R277" s="74"/>
      <c r="S277" s="74"/>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row>
    <row r="278" spans="1:49">
      <c r="A278" s="173"/>
      <c r="B278" s="79"/>
      <c r="C278" s="74"/>
      <c r="D278" s="74"/>
      <c r="E278" s="74"/>
      <c r="F278" s="160"/>
      <c r="G278" s="160"/>
      <c r="H278" s="74"/>
      <c r="I278" s="74"/>
      <c r="J278" s="74"/>
      <c r="K278" s="160"/>
      <c r="L278" s="160"/>
      <c r="M278" s="74"/>
      <c r="N278" s="74"/>
      <c r="O278" s="74"/>
      <c r="P278" s="160"/>
      <c r="Q278" s="160"/>
      <c r="R278" s="74"/>
      <c r="S278" s="74"/>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row>
    <row r="279" spans="1:49">
      <c r="A279" s="173"/>
      <c r="B279" s="79"/>
      <c r="C279" s="74"/>
      <c r="D279" s="74"/>
      <c r="E279" s="74"/>
      <c r="F279" s="160"/>
      <c r="G279" s="160"/>
      <c r="H279" s="74"/>
      <c r="I279" s="74"/>
      <c r="J279" s="74"/>
      <c r="K279" s="160"/>
      <c r="L279" s="160"/>
      <c r="M279" s="74"/>
      <c r="N279" s="74"/>
      <c r="O279" s="74"/>
      <c r="P279" s="160"/>
      <c r="Q279" s="160"/>
      <c r="R279" s="74"/>
      <c r="S279" s="74"/>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row>
    <row r="280" spans="1:49">
      <c r="A280" s="173"/>
      <c r="B280" s="79"/>
      <c r="C280" s="74"/>
      <c r="D280" s="74"/>
      <c r="E280" s="74"/>
      <c r="F280" s="160"/>
      <c r="G280" s="160"/>
      <c r="H280" s="74"/>
      <c r="I280" s="74"/>
      <c r="J280" s="74"/>
      <c r="K280" s="160"/>
      <c r="L280" s="160"/>
      <c r="M280" s="74"/>
      <c r="N280" s="74"/>
      <c r="O280" s="74"/>
      <c r="P280" s="160"/>
      <c r="Q280" s="160"/>
      <c r="R280" s="74"/>
      <c r="S280" s="74"/>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row>
    <row r="281" spans="1:49">
      <c r="A281" s="173"/>
      <c r="B281" s="79"/>
      <c r="C281" s="74"/>
      <c r="D281" s="74"/>
      <c r="E281" s="74"/>
      <c r="F281" s="160"/>
      <c r="G281" s="160"/>
      <c r="H281" s="74"/>
      <c r="I281" s="74"/>
      <c r="J281" s="74"/>
      <c r="K281" s="160"/>
      <c r="L281" s="160"/>
      <c r="M281" s="74"/>
      <c r="N281" s="74"/>
      <c r="O281" s="74"/>
      <c r="P281" s="160"/>
      <c r="Q281" s="160"/>
      <c r="R281" s="74"/>
      <c r="S281" s="74"/>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row>
    <row r="282" spans="1:49">
      <c r="A282" s="173"/>
      <c r="B282" s="79"/>
      <c r="C282" s="74"/>
      <c r="D282" s="74"/>
      <c r="E282" s="74"/>
      <c r="F282" s="160"/>
      <c r="G282" s="160"/>
      <c r="H282" s="74"/>
      <c r="I282" s="74"/>
      <c r="J282" s="74"/>
      <c r="K282" s="160"/>
      <c r="L282" s="160"/>
      <c r="M282" s="74"/>
      <c r="N282" s="74"/>
      <c r="O282" s="74"/>
      <c r="P282" s="160"/>
      <c r="Q282" s="160"/>
      <c r="R282" s="74"/>
      <c r="S282" s="74"/>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row>
    <row r="283" spans="1:49">
      <c r="A283" s="173"/>
      <c r="B283" s="79"/>
      <c r="C283" s="74"/>
      <c r="D283" s="74"/>
      <c r="E283" s="74"/>
      <c r="F283" s="160"/>
      <c r="G283" s="160"/>
      <c r="H283" s="74"/>
      <c r="I283" s="74"/>
      <c r="J283" s="74"/>
      <c r="K283" s="160"/>
      <c r="L283" s="160"/>
      <c r="M283" s="74"/>
      <c r="N283" s="74"/>
      <c r="O283" s="74"/>
      <c r="P283" s="160"/>
      <c r="Q283" s="160"/>
      <c r="R283" s="74"/>
      <c r="S283" s="74"/>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row>
    <row r="284" spans="1:49">
      <c r="A284" s="173"/>
      <c r="B284" s="79"/>
      <c r="C284" s="74"/>
      <c r="D284" s="74"/>
      <c r="E284" s="74"/>
      <c r="F284" s="160"/>
      <c r="G284" s="160"/>
      <c r="H284" s="74"/>
      <c r="I284" s="74"/>
      <c r="J284" s="74"/>
      <c r="K284" s="160"/>
      <c r="L284" s="160"/>
      <c r="M284" s="74"/>
      <c r="N284" s="74"/>
      <c r="O284" s="74"/>
      <c r="P284" s="160"/>
      <c r="Q284" s="160"/>
      <c r="R284" s="74"/>
      <c r="S284" s="74"/>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row>
    <row r="285" spans="1:49">
      <c r="A285" s="173"/>
      <c r="B285" s="79"/>
      <c r="C285" s="74"/>
      <c r="D285" s="74"/>
      <c r="E285" s="74"/>
      <c r="F285" s="160"/>
      <c r="G285" s="160"/>
      <c r="H285" s="74"/>
      <c r="I285" s="74"/>
      <c r="J285" s="74"/>
      <c r="K285" s="160"/>
      <c r="L285" s="160"/>
      <c r="M285" s="74"/>
      <c r="N285" s="74"/>
      <c r="O285" s="74"/>
      <c r="P285" s="160"/>
      <c r="Q285" s="160"/>
      <c r="R285" s="74"/>
      <c r="S285" s="74"/>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row>
    <row r="286" spans="1:49">
      <c r="A286" s="173"/>
      <c r="B286" s="79"/>
      <c r="C286" s="74"/>
      <c r="D286" s="74"/>
      <c r="E286" s="74"/>
      <c r="F286" s="160"/>
      <c r="G286" s="160"/>
      <c r="H286" s="74"/>
      <c r="I286" s="74"/>
      <c r="J286" s="74"/>
      <c r="K286" s="160"/>
      <c r="L286" s="160"/>
      <c r="M286" s="74"/>
      <c r="N286" s="74"/>
      <c r="O286" s="74"/>
      <c r="P286" s="160"/>
      <c r="Q286" s="160"/>
      <c r="R286" s="74"/>
      <c r="S286" s="74"/>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row>
    <row r="287" spans="1:49">
      <c r="A287" s="173"/>
      <c r="B287" s="79"/>
      <c r="C287" s="74"/>
      <c r="D287" s="74"/>
      <c r="E287" s="74"/>
      <c r="F287" s="160"/>
      <c r="G287" s="160"/>
      <c r="H287" s="74"/>
      <c r="I287" s="74"/>
      <c r="J287" s="74"/>
      <c r="K287" s="160"/>
      <c r="L287" s="160"/>
      <c r="M287" s="74"/>
      <c r="N287" s="74"/>
      <c r="O287" s="74"/>
      <c r="P287" s="160"/>
      <c r="Q287" s="160"/>
      <c r="R287" s="74"/>
      <c r="S287" s="74"/>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row>
    <row r="288" spans="1:49">
      <c r="A288" s="173"/>
      <c r="B288" s="79"/>
      <c r="C288" s="74"/>
      <c r="D288" s="74"/>
      <c r="E288" s="74"/>
      <c r="F288" s="160"/>
      <c r="G288" s="160"/>
      <c r="H288" s="74"/>
      <c r="I288" s="74"/>
      <c r="J288" s="74"/>
      <c r="K288" s="160"/>
      <c r="L288" s="160"/>
      <c r="M288" s="74"/>
      <c r="N288" s="74"/>
      <c r="O288" s="74"/>
      <c r="P288" s="160"/>
      <c r="Q288" s="160"/>
      <c r="R288" s="74"/>
      <c r="S288" s="74"/>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row>
    <row r="289" spans="1:49">
      <c r="A289" s="173"/>
      <c r="B289" s="79"/>
      <c r="C289" s="74"/>
      <c r="D289" s="74"/>
      <c r="E289" s="74"/>
      <c r="F289" s="160"/>
      <c r="G289" s="160"/>
      <c r="H289" s="74"/>
      <c r="I289" s="74"/>
      <c r="J289" s="74"/>
      <c r="K289" s="160"/>
      <c r="L289" s="160"/>
      <c r="M289" s="74"/>
      <c r="N289" s="74"/>
      <c r="O289" s="74"/>
      <c r="P289" s="160"/>
      <c r="Q289" s="160"/>
      <c r="R289" s="74"/>
      <c r="S289" s="74"/>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row>
    <row r="290" spans="1:49">
      <c r="A290" s="173"/>
      <c r="B290" s="79"/>
      <c r="C290" s="74"/>
      <c r="D290" s="74"/>
      <c r="E290" s="74"/>
      <c r="F290" s="160"/>
      <c r="G290" s="160"/>
      <c r="H290" s="74"/>
      <c r="I290" s="74"/>
      <c r="J290" s="74"/>
      <c r="K290" s="160"/>
      <c r="L290" s="160"/>
      <c r="M290" s="74"/>
      <c r="N290" s="74"/>
      <c r="O290" s="74"/>
      <c r="P290" s="160"/>
      <c r="Q290" s="160"/>
      <c r="R290" s="74"/>
      <c r="S290" s="74"/>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row>
    <row r="291" spans="1:49">
      <c r="A291" s="173"/>
      <c r="B291" s="79"/>
      <c r="C291" s="74"/>
      <c r="D291" s="74"/>
      <c r="E291" s="74"/>
      <c r="F291" s="160"/>
      <c r="G291" s="160"/>
      <c r="H291" s="74"/>
      <c r="I291" s="74"/>
      <c r="J291" s="74"/>
      <c r="K291" s="160"/>
      <c r="L291" s="160"/>
      <c r="M291" s="74"/>
      <c r="N291" s="74"/>
      <c r="O291" s="74"/>
      <c r="P291" s="160"/>
      <c r="Q291" s="160"/>
      <c r="R291" s="74"/>
      <c r="S291" s="74"/>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row>
    <row r="292" spans="1:49">
      <c r="A292" s="173"/>
      <c r="B292" s="79"/>
      <c r="C292" s="74"/>
      <c r="D292" s="74"/>
      <c r="E292" s="74"/>
      <c r="F292" s="160"/>
      <c r="G292" s="160"/>
      <c r="H292" s="74"/>
      <c r="I292" s="74"/>
      <c r="J292" s="74"/>
      <c r="K292" s="160"/>
      <c r="L292" s="160"/>
      <c r="M292" s="74"/>
      <c r="N292" s="74"/>
      <c r="O292" s="74"/>
      <c r="P292" s="160"/>
      <c r="Q292" s="160"/>
      <c r="R292" s="74"/>
      <c r="S292" s="74"/>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row>
    <row r="293" spans="1:49">
      <c r="A293" s="173"/>
      <c r="B293" s="79"/>
      <c r="C293" s="74"/>
      <c r="D293" s="74"/>
      <c r="E293" s="74"/>
      <c r="F293" s="160"/>
      <c r="G293" s="160"/>
      <c r="H293" s="74"/>
      <c r="I293" s="74"/>
      <c r="J293" s="74"/>
      <c r="K293" s="160"/>
      <c r="L293" s="160"/>
      <c r="M293" s="74"/>
      <c r="N293" s="74"/>
      <c r="O293" s="74"/>
      <c r="P293" s="160"/>
      <c r="Q293" s="160"/>
      <c r="R293" s="74"/>
      <c r="S293" s="74"/>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row>
    <row r="294" spans="1:49">
      <c r="A294" s="173"/>
      <c r="B294" s="79"/>
      <c r="C294" s="74"/>
      <c r="D294" s="74"/>
      <c r="E294" s="74"/>
      <c r="F294" s="160"/>
      <c r="G294" s="160"/>
      <c r="H294" s="74"/>
      <c r="I294" s="74"/>
      <c r="J294" s="74"/>
      <c r="K294" s="160"/>
      <c r="L294" s="160"/>
      <c r="M294" s="74"/>
      <c r="N294" s="74"/>
      <c r="O294" s="74"/>
      <c r="P294" s="160"/>
      <c r="Q294" s="160"/>
      <c r="R294" s="74"/>
      <c r="S294" s="74"/>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row>
    <row r="295" spans="1:49">
      <c r="A295" s="173"/>
      <c r="B295" s="79"/>
      <c r="C295" s="74"/>
      <c r="D295" s="74"/>
      <c r="E295" s="74"/>
      <c r="F295" s="160"/>
      <c r="G295" s="160"/>
      <c r="H295" s="74"/>
      <c r="I295" s="74"/>
      <c r="J295" s="74"/>
      <c r="K295" s="160"/>
      <c r="L295" s="160"/>
      <c r="M295" s="74"/>
      <c r="N295" s="74"/>
      <c r="O295" s="74"/>
      <c r="P295" s="160"/>
      <c r="Q295" s="160"/>
      <c r="R295" s="74"/>
      <c r="S295" s="74"/>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row>
    <row r="296" spans="1:49">
      <c r="A296" s="173"/>
      <c r="B296" s="79"/>
      <c r="C296" s="74"/>
      <c r="D296" s="74"/>
      <c r="E296" s="74"/>
      <c r="F296" s="160"/>
      <c r="G296" s="160"/>
      <c r="H296" s="74"/>
      <c r="I296" s="74"/>
      <c r="J296" s="74"/>
      <c r="K296" s="160"/>
      <c r="L296" s="160"/>
      <c r="M296" s="74"/>
      <c r="N296" s="74"/>
      <c r="O296" s="74"/>
      <c r="P296" s="160"/>
      <c r="Q296" s="160"/>
      <c r="R296" s="74"/>
      <c r="S296" s="74"/>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row>
    <row r="297" spans="1:49">
      <c r="A297" s="173"/>
      <c r="B297" s="79"/>
      <c r="C297" s="74"/>
      <c r="D297" s="74"/>
      <c r="E297" s="74"/>
      <c r="F297" s="160"/>
      <c r="G297" s="160"/>
      <c r="H297" s="74"/>
      <c r="I297" s="74"/>
      <c r="J297" s="74"/>
      <c r="K297" s="160"/>
      <c r="L297" s="160"/>
      <c r="M297" s="74"/>
      <c r="N297" s="74"/>
      <c r="O297" s="74"/>
      <c r="P297" s="160"/>
      <c r="Q297" s="160"/>
      <c r="R297" s="74"/>
      <c r="S297" s="74"/>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row>
    <row r="298" spans="1:49">
      <c r="A298" s="173"/>
      <c r="B298" s="79"/>
      <c r="C298" s="74"/>
      <c r="D298" s="74"/>
      <c r="E298" s="74"/>
      <c r="F298" s="160"/>
      <c r="G298" s="160"/>
      <c r="H298" s="74"/>
      <c r="I298" s="74"/>
      <c r="J298" s="74"/>
      <c r="K298" s="160"/>
      <c r="L298" s="160"/>
      <c r="M298" s="74"/>
      <c r="N298" s="74"/>
      <c r="O298" s="74"/>
      <c r="P298" s="160"/>
      <c r="Q298" s="160"/>
      <c r="R298" s="74"/>
      <c r="S298" s="74"/>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row>
    <row r="299" spans="1:49">
      <c r="A299" s="173"/>
      <c r="B299" s="79"/>
      <c r="C299" s="74"/>
      <c r="D299" s="74"/>
      <c r="E299" s="74"/>
      <c r="F299" s="160"/>
      <c r="G299" s="160"/>
      <c r="H299" s="74"/>
      <c r="I299" s="74"/>
      <c r="J299" s="74"/>
      <c r="K299" s="160"/>
      <c r="L299" s="160"/>
      <c r="M299" s="74"/>
      <c r="N299" s="74"/>
      <c r="O299" s="74"/>
      <c r="P299" s="160"/>
      <c r="Q299" s="160"/>
      <c r="R299" s="74"/>
      <c r="S299" s="74"/>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row>
    <row r="300" spans="1:49">
      <c r="A300" s="173"/>
      <c r="B300" s="79"/>
      <c r="C300" s="74"/>
      <c r="D300" s="74"/>
      <c r="E300" s="74"/>
      <c r="F300" s="160"/>
      <c r="G300" s="160"/>
      <c r="H300" s="74"/>
      <c r="I300" s="74"/>
      <c r="J300" s="74"/>
      <c r="K300" s="160"/>
      <c r="L300" s="160"/>
      <c r="M300" s="74"/>
      <c r="N300" s="74"/>
      <c r="O300" s="74"/>
      <c r="P300" s="160"/>
      <c r="Q300" s="160"/>
      <c r="R300" s="74"/>
      <c r="S300" s="74"/>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row>
    <row r="301" spans="1:49">
      <c r="A301" s="173"/>
      <c r="B301" s="79"/>
      <c r="C301" s="74"/>
      <c r="D301" s="74"/>
      <c r="E301" s="74"/>
      <c r="F301" s="160"/>
      <c r="G301" s="160"/>
      <c r="H301" s="74"/>
      <c r="I301" s="74"/>
      <c r="J301" s="74"/>
      <c r="K301" s="160"/>
      <c r="L301" s="160"/>
      <c r="M301" s="74"/>
      <c r="N301" s="74"/>
      <c r="O301" s="74"/>
      <c r="P301" s="160"/>
      <c r="Q301" s="160"/>
      <c r="R301" s="74"/>
      <c r="S301" s="74"/>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row>
    <row r="302" spans="1:49">
      <c r="A302" s="173"/>
      <c r="B302" s="79"/>
      <c r="C302" s="74"/>
      <c r="D302" s="74"/>
      <c r="E302" s="74"/>
      <c r="F302" s="160"/>
      <c r="G302" s="160"/>
      <c r="H302" s="74"/>
      <c r="I302" s="74"/>
      <c r="J302" s="74"/>
      <c r="K302" s="160"/>
      <c r="L302" s="160"/>
      <c r="M302" s="74"/>
      <c r="N302" s="74"/>
      <c r="O302" s="74"/>
      <c r="P302" s="160"/>
      <c r="Q302" s="160"/>
      <c r="R302" s="74"/>
      <c r="S302" s="74"/>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row>
    <row r="303" spans="1:49">
      <c r="A303" s="173"/>
      <c r="B303" s="79"/>
      <c r="C303" s="74"/>
      <c r="D303" s="74"/>
      <c r="E303" s="74"/>
      <c r="F303" s="160"/>
      <c r="G303" s="160"/>
      <c r="H303" s="74"/>
      <c r="I303" s="74"/>
      <c r="J303" s="74"/>
      <c r="K303" s="160"/>
      <c r="L303" s="160"/>
      <c r="M303" s="74"/>
      <c r="N303" s="74"/>
      <c r="O303" s="74"/>
      <c r="P303" s="160"/>
      <c r="Q303" s="160"/>
      <c r="R303" s="74"/>
      <c r="S303" s="74"/>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row>
    <row r="304" spans="1:49">
      <c r="A304" s="173"/>
      <c r="B304" s="79"/>
      <c r="C304" s="74"/>
      <c r="D304" s="74"/>
      <c r="E304" s="74"/>
      <c r="F304" s="160"/>
      <c r="G304" s="160"/>
      <c r="H304" s="74"/>
      <c r="I304" s="74"/>
      <c r="J304" s="74"/>
      <c r="K304" s="160"/>
      <c r="L304" s="160"/>
      <c r="M304" s="74"/>
      <c r="N304" s="74"/>
      <c r="O304" s="74"/>
      <c r="P304" s="160"/>
      <c r="Q304" s="160"/>
      <c r="R304" s="74"/>
      <c r="S304" s="74"/>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row>
    <row r="305" spans="1:49">
      <c r="A305" s="173"/>
      <c r="B305" s="79"/>
      <c r="C305" s="74"/>
      <c r="D305" s="74"/>
      <c r="E305" s="74"/>
      <c r="F305" s="160"/>
      <c r="G305" s="160"/>
      <c r="H305" s="74"/>
      <c r="I305" s="74"/>
      <c r="J305" s="74"/>
      <c r="K305" s="160"/>
      <c r="L305" s="160"/>
      <c r="M305" s="74"/>
      <c r="N305" s="74"/>
      <c r="O305" s="74"/>
      <c r="P305" s="160"/>
      <c r="Q305" s="160"/>
      <c r="R305" s="74"/>
      <c r="S305" s="74"/>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row>
    <row r="306" spans="1:49">
      <c r="A306" s="173"/>
      <c r="B306" s="79"/>
      <c r="C306" s="74"/>
      <c r="D306" s="74"/>
      <c r="E306" s="74"/>
      <c r="F306" s="160"/>
      <c r="G306" s="160"/>
      <c r="H306" s="74"/>
      <c r="I306" s="74"/>
      <c r="J306" s="74"/>
      <c r="K306" s="160"/>
      <c r="L306" s="160"/>
      <c r="M306" s="74"/>
      <c r="N306" s="74"/>
      <c r="O306" s="74"/>
      <c r="P306" s="160"/>
      <c r="Q306" s="160"/>
      <c r="R306" s="74"/>
      <c r="S306" s="74"/>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row>
    <row r="307" spans="1:49">
      <c r="A307" s="173"/>
      <c r="B307" s="79"/>
      <c r="C307" s="74"/>
      <c r="D307" s="74"/>
      <c r="E307" s="74"/>
      <c r="F307" s="160"/>
      <c r="G307" s="160"/>
      <c r="H307" s="74"/>
      <c r="I307" s="74"/>
      <c r="J307" s="74"/>
      <c r="K307" s="160"/>
      <c r="L307" s="160"/>
      <c r="M307" s="74"/>
      <c r="N307" s="74"/>
      <c r="O307" s="74"/>
      <c r="P307" s="160"/>
      <c r="Q307" s="160"/>
      <c r="R307" s="74"/>
      <c r="S307" s="74"/>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row>
    <row r="308" spans="1:49">
      <c r="A308" s="173"/>
      <c r="B308" s="79"/>
      <c r="C308" s="74"/>
      <c r="D308" s="74"/>
      <c r="E308" s="74"/>
      <c r="F308" s="160"/>
      <c r="G308" s="160"/>
      <c r="H308" s="74"/>
      <c r="I308" s="74"/>
      <c r="J308" s="74"/>
      <c r="K308" s="160"/>
      <c r="L308" s="160"/>
      <c r="M308" s="74"/>
      <c r="N308" s="74"/>
      <c r="O308" s="74"/>
      <c r="P308" s="160"/>
      <c r="Q308" s="160"/>
      <c r="R308" s="74"/>
      <c r="S308" s="74"/>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row>
    <row r="309" spans="1:49">
      <c r="A309" s="173"/>
      <c r="B309" s="79"/>
      <c r="C309" s="74"/>
      <c r="D309" s="74"/>
      <c r="E309" s="74"/>
      <c r="F309" s="160"/>
      <c r="G309" s="160"/>
      <c r="H309" s="74"/>
      <c r="I309" s="74"/>
      <c r="J309" s="74"/>
      <c r="K309" s="160"/>
      <c r="L309" s="160"/>
      <c r="M309" s="74"/>
      <c r="N309" s="74"/>
      <c r="O309" s="74"/>
      <c r="P309" s="160"/>
      <c r="Q309" s="160"/>
      <c r="R309" s="74"/>
      <c r="S309" s="74"/>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row>
    <row r="310" spans="1:49">
      <c r="A310" s="173"/>
      <c r="B310" s="79"/>
      <c r="C310" s="74"/>
      <c r="D310" s="74"/>
      <c r="E310" s="74"/>
      <c r="F310" s="160"/>
      <c r="G310" s="160"/>
      <c r="H310" s="74"/>
      <c r="I310" s="74"/>
      <c r="J310" s="74"/>
      <c r="K310" s="160"/>
      <c r="L310" s="160"/>
      <c r="M310" s="74"/>
      <c r="N310" s="74"/>
      <c r="O310" s="74"/>
      <c r="P310" s="160"/>
      <c r="Q310" s="160"/>
      <c r="R310" s="74"/>
      <c r="S310" s="74"/>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row>
    <row r="311" spans="1:49">
      <c r="A311" s="173"/>
      <c r="B311" s="79"/>
      <c r="C311" s="74"/>
      <c r="D311" s="74"/>
      <c r="E311" s="74"/>
      <c r="F311" s="160"/>
      <c r="G311" s="160"/>
      <c r="H311" s="74"/>
      <c r="I311" s="74"/>
      <c r="J311" s="74"/>
      <c r="K311" s="160"/>
      <c r="L311" s="160"/>
      <c r="M311" s="74"/>
      <c r="N311" s="74"/>
      <c r="O311" s="74"/>
      <c r="P311" s="160"/>
      <c r="Q311" s="160"/>
      <c r="R311" s="74"/>
      <c r="S311" s="74"/>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row>
    <row r="312" spans="1:49">
      <c r="A312" s="173"/>
      <c r="B312" s="79"/>
      <c r="C312" s="74"/>
      <c r="D312" s="74"/>
      <c r="E312" s="74"/>
      <c r="F312" s="160"/>
      <c r="G312" s="160"/>
      <c r="H312" s="74"/>
      <c r="I312" s="74"/>
      <c r="J312" s="74"/>
      <c r="K312" s="160"/>
      <c r="L312" s="160"/>
      <c r="M312" s="74"/>
      <c r="N312" s="74"/>
      <c r="O312" s="74"/>
      <c r="P312" s="160"/>
      <c r="Q312" s="160"/>
      <c r="R312" s="74"/>
      <c r="S312" s="74"/>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row>
    <row r="313" spans="1:49">
      <c r="A313" s="173"/>
      <c r="B313" s="79"/>
      <c r="C313" s="74"/>
      <c r="D313" s="74"/>
      <c r="E313" s="74"/>
      <c r="F313" s="160"/>
      <c r="G313" s="160"/>
      <c r="H313" s="74"/>
      <c r="I313" s="74"/>
      <c r="J313" s="74"/>
      <c r="K313" s="160"/>
      <c r="L313" s="160"/>
      <c r="M313" s="74"/>
      <c r="N313" s="74"/>
      <c r="O313" s="74"/>
      <c r="P313" s="160"/>
      <c r="Q313" s="160"/>
      <c r="R313" s="74"/>
      <c r="S313" s="74"/>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row>
    <row r="314" spans="1:49">
      <c r="A314" s="173"/>
      <c r="B314" s="79"/>
      <c r="C314" s="74"/>
      <c r="D314" s="74"/>
      <c r="E314" s="74"/>
      <c r="F314" s="160"/>
      <c r="G314" s="160"/>
      <c r="H314" s="74"/>
      <c r="I314" s="74"/>
      <c r="J314" s="74"/>
      <c r="K314" s="160"/>
      <c r="L314" s="160"/>
      <c r="M314" s="74"/>
      <c r="N314" s="74"/>
      <c r="O314" s="74"/>
      <c r="P314" s="160"/>
      <c r="Q314" s="160"/>
      <c r="R314" s="74"/>
      <c r="S314" s="74"/>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row>
    <row r="315" spans="1:49">
      <c r="A315" s="26"/>
      <c r="B315" s="14"/>
      <c r="C315" s="13"/>
      <c r="D315" s="13"/>
      <c r="E315" s="13"/>
      <c r="H315" s="13"/>
      <c r="I315" s="13"/>
      <c r="J315" s="13"/>
      <c r="M315" s="13"/>
      <c r="N315" s="13"/>
      <c r="O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row>
    <row r="316" spans="1:49">
      <c r="A316" s="26"/>
      <c r="B316" s="14"/>
      <c r="C316" s="13"/>
      <c r="D316" s="13"/>
      <c r="E316" s="13"/>
      <c r="H316" s="13"/>
      <c r="I316" s="13"/>
      <c r="J316" s="13"/>
      <c r="M316" s="13"/>
      <c r="N316" s="13"/>
      <c r="O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row>
    <row r="317" spans="1:49">
      <c r="A317" s="26"/>
      <c r="B317" s="14"/>
      <c r="C317" s="13"/>
      <c r="D317" s="13"/>
      <c r="E317" s="13"/>
      <c r="H317" s="13"/>
      <c r="I317" s="13"/>
      <c r="J317" s="13"/>
      <c r="M317" s="13"/>
      <c r="N317" s="13"/>
      <c r="O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row>
    <row r="318" spans="1:49">
      <c r="A318" s="26"/>
      <c r="B318" s="14"/>
      <c r="C318" s="13"/>
      <c r="D318" s="13"/>
      <c r="E318" s="13"/>
      <c r="H318" s="13"/>
      <c r="I318" s="13"/>
      <c r="J318" s="13"/>
      <c r="M318" s="13"/>
      <c r="N318" s="13"/>
      <c r="O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row>
    <row r="319" spans="1:49">
      <c r="A319" s="26"/>
      <c r="B319" s="14"/>
      <c r="C319" s="13"/>
      <c r="D319" s="13"/>
      <c r="E319" s="13"/>
      <c r="H319" s="13"/>
      <c r="I319" s="13"/>
      <c r="J319" s="13"/>
      <c r="M319" s="13"/>
      <c r="N319" s="13"/>
      <c r="O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row>
    <row r="320" spans="1:49">
      <c r="A320" s="26"/>
      <c r="B320" s="14"/>
      <c r="C320" s="13"/>
      <c r="D320" s="13"/>
      <c r="E320" s="13"/>
      <c r="H320" s="13"/>
      <c r="I320" s="13"/>
      <c r="J320" s="13"/>
      <c r="M320" s="13"/>
      <c r="N320" s="13"/>
      <c r="O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row>
    <row r="321" spans="1:49">
      <c r="A321" s="26"/>
      <c r="B321" s="14"/>
      <c r="C321" s="13"/>
      <c r="D321" s="13"/>
      <c r="E321" s="13"/>
      <c r="H321" s="13"/>
      <c r="I321" s="13"/>
      <c r="J321" s="13"/>
      <c r="M321" s="13"/>
      <c r="N321" s="13"/>
      <c r="O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row>
    <row r="322" spans="1:49">
      <c r="A322" s="26"/>
      <c r="B322" s="14"/>
      <c r="C322" s="13"/>
      <c r="D322" s="13"/>
      <c r="E322" s="13"/>
      <c r="H322" s="13"/>
      <c r="I322" s="13"/>
      <c r="J322" s="13"/>
      <c r="M322" s="13"/>
      <c r="N322" s="13"/>
      <c r="O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row>
    <row r="323" spans="1:49">
      <c r="A323" s="26"/>
      <c r="B323" s="14"/>
      <c r="C323" s="13"/>
      <c r="D323" s="13"/>
      <c r="E323" s="13"/>
      <c r="H323" s="13"/>
      <c r="I323" s="13"/>
      <c r="J323" s="13"/>
      <c r="M323" s="13"/>
      <c r="N323" s="13"/>
      <c r="O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row>
    <row r="324" spans="1:49">
      <c r="A324" s="26"/>
      <c r="B324" s="14"/>
      <c r="C324" s="13"/>
      <c r="D324" s="13"/>
      <c r="E324" s="13"/>
      <c r="H324" s="13"/>
      <c r="I324" s="13"/>
      <c r="J324" s="13"/>
      <c r="M324" s="13"/>
      <c r="N324" s="13"/>
      <c r="O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row>
    <row r="325" spans="1:49">
      <c r="A325" s="26"/>
      <c r="B325" s="14"/>
      <c r="C325" s="13"/>
      <c r="D325" s="13"/>
      <c r="E325" s="13"/>
      <c r="H325" s="13"/>
      <c r="I325" s="13"/>
      <c r="J325" s="13"/>
      <c r="M325" s="13"/>
      <c r="N325" s="13"/>
      <c r="O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row>
    <row r="326" spans="1:49">
      <c r="A326" s="26"/>
      <c r="B326" s="14"/>
      <c r="C326" s="13"/>
      <c r="D326" s="13"/>
      <c r="E326" s="13"/>
      <c r="H326" s="13"/>
      <c r="I326" s="13"/>
      <c r="J326" s="13"/>
      <c r="M326" s="13"/>
      <c r="N326" s="13"/>
      <c r="O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row>
    <row r="327" spans="1:49">
      <c r="A327" s="26"/>
      <c r="B327" s="14"/>
      <c r="C327" s="13"/>
      <c r="D327" s="13"/>
      <c r="E327" s="13"/>
      <c r="H327" s="13"/>
      <c r="I327" s="13"/>
      <c r="J327" s="13"/>
      <c r="M327" s="13"/>
      <c r="N327" s="13"/>
      <c r="O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row>
    <row r="328" spans="1:49">
      <c r="A328" s="26"/>
      <c r="B328" s="14"/>
      <c r="C328" s="13"/>
      <c r="D328" s="13"/>
      <c r="E328" s="13"/>
      <c r="H328" s="13"/>
      <c r="I328" s="13"/>
      <c r="J328" s="13"/>
      <c r="M328" s="13"/>
      <c r="N328" s="13"/>
      <c r="O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row>
    <row r="329" spans="1:49">
      <c r="A329" s="26"/>
      <c r="B329" s="14"/>
      <c r="C329" s="13"/>
      <c r="D329" s="13"/>
      <c r="E329" s="13"/>
      <c r="H329" s="13"/>
      <c r="I329" s="13"/>
      <c r="J329" s="13"/>
      <c r="M329" s="13"/>
      <c r="N329" s="13"/>
      <c r="O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row>
    <row r="330" spans="1:49">
      <c r="A330" s="26"/>
      <c r="B330" s="14"/>
      <c r="C330" s="13"/>
      <c r="D330" s="13"/>
      <c r="E330" s="13"/>
      <c r="H330" s="13"/>
      <c r="I330" s="13"/>
      <c r="J330" s="13"/>
      <c r="M330" s="13"/>
      <c r="N330" s="13"/>
      <c r="O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row>
    <row r="331" spans="1:49">
      <c r="A331" s="26"/>
      <c r="B331" s="14"/>
      <c r="C331" s="13"/>
      <c r="D331" s="13"/>
      <c r="E331" s="13"/>
      <c r="H331" s="13"/>
      <c r="I331" s="13"/>
      <c r="J331" s="13"/>
      <c r="M331" s="13"/>
      <c r="N331" s="13"/>
      <c r="O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row>
    <row r="332" spans="1:49">
      <c r="A332" s="26"/>
      <c r="B332" s="14"/>
      <c r="C332" s="13"/>
      <c r="D332" s="13"/>
      <c r="E332" s="13"/>
      <c r="H332" s="13"/>
      <c r="I332" s="13"/>
      <c r="J332" s="13"/>
      <c r="M332" s="13"/>
      <c r="N332" s="13"/>
      <c r="O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row>
    <row r="333" spans="1:49">
      <c r="A333" s="26"/>
      <c r="B333" s="14"/>
      <c r="C333" s="13"/>
      <c r="D333" s="13"/>
      <c r="E333" s="13"/>
      <c r="H333" s="13"/>
      <c r="I333" s="13"/>
      <c r="J333" s="13"/>
      <c r="M333" s="13"/>
      <c r="N333" s="13"/>
      <c r="O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row>
    <row r="334" spans="1:49">
      <c r="A334" s="26"/>
      <c r="B334" s="14"/>
      <c r="C334" s="13"/>
      <c r="D334" s="13"/>
      <c r="E334" s="13"/>
      <c r="H334" s="13"/>
      <c r="I334" s="13"/>
      <c r="J334" s="13"/>
      <c r="M334" s="13"/>
      <c r="N334" s="13"/>
      <c r="O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row>
    <row r="335" spans="1:49">
      <c r="A335" s="26"/>
      <c r="B335" s="14"/>
      <c r="C335" s="13"/>
      <c r="D335" s="13"/>
      <c r="E335" s="13"/>
      <c r="H335" s="13"/>
      <c r="I335" s="13"/>
      <c r="J335" s="13"/>
      <c r="M335" s="13"/>
      <c r="N335" s="13"/>
      <c r="O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row>
  </sheetData>
  <mergeCells count="1">
    <mergeCell ref="A151:S151"/>
  </mergeCells>
  <pageMargins left="0.45" right="0.45" top="0.75" bottom="0.25" header="0.3" footer="0.05"/>
  <pageSetup paperSize="5" scale="57" fitToHeight="2" orientation="landscape" r:id="rId1"/>
  <rowBreaks count="1" manualBreakCount="1">
    <brk id="75" max="2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workbookViewId="0">
      <pane xSplit="2" ySplit="3" topLeftCell="E4" activePane="bottomRight" state="frozen"/>
      <selection pane="topRight" activeCell="C1" sqref="C1"/>
      <selection pane="bottomLeft" activeCell="A4" sqref="A4"/>
      <selection pane="bottomRight" activeCell="V4" sqref="V4"/>
    </sheetView>
  </sheetViews>
  <sheetFormatPr defaultColWidth="9.109375" defaultRowHeight="14.4" outlineLevelCol="1"/>
  <cols>
    <col min="1" max="1" width="1.6640625" style="2" customWidth="1"/>
    <col min="2" max="2" width="36.109375" style="2" customWidth="1"/>
    <col min="3" max="3" width="9.109375" style="65" outlineLevel="1"/>
    <col min="4" max="6" width="9.109375" style="2" outlineLevel="1"/>
    <col min="7" max="7" width="9.109375" style="25"/>
    <col min="8" max="8" width="9.109375" style="65" outlineLevel="1"/>
    <col min="9" max="11" width="9.109375" style="2" outlineLevel="1"/>
    <col min="12" max="12" width="9.109375" style="25"/>
    <col min="13" max="13" width="9.109375" style="65" outlineLevel="1"/>
    <col min="14" max="16" width="9.109375" style="2" outlineLevel="1"/>
    <col min="17" max="17" width="9.109375" style="25"/>
    <col min="18" max="18" width="9.109375" style="65" outlineLevel="1"/>
    <col min="19" max="21" width="9.109375" style="2" outlineLevel="1"/>
    <col min="22" max="16384" width="9.109375" style="2"/>
  </cols>
  <sheetData>
    <row r="1" spans="1:24">
      <c r="A1" s="107" t="s">
        <v>249</v>
      </c>
      <c r="B1" s="184"/>
      <c r="C1" s="13"/>
      <c r="D1" s="13"/>
      <c r="E1" s="13"/>
      <c r="F1" s="13"/>
      <c r="G1" s="13"/>
      <c r="H1" s="13"/>
      <c r="I1" s="13"/>
      <c r="J1" s="13"/>
      <c r="K1" s="13"/>
      <c r="L1" s="13"/>
      <c r="M1" s="13"/>
      <c r="N1" s="13"/>
      <c r="O1" s="13"/>
      <c r="P1" s="13"/>
      <c r="Q1" s="13"/>
      <c r="R1" s="13"/>
      <c r="S1" s="13"/>
      <c r="T1" s="13"/>
      <c r="U1" s="13"/>
      <c r="V1" s="13"/>
    </row>
    <row r="2" spans="1:24" ht="12.75" customHeight="1">
      <c r="A2" s="373" t="s">
        <v>217</v>
      </c>
      <c r="B2" s="373"/>
      <c r="C2" s="74"/>
      <c r="D2" s="74"/>
      <c r="E2" s="74"/>
      <c r="F2" s="74"/>
      <c r="G2" s="74"/>
      <c r="H2" s="74"/>
      <c r="I2" s="74"/>
      <c r="J2" s="74"/>
      <c r="K2" s="74"/>
      <c r="L2" s="74"/>
      <c r="M2" s="74"/>
      <c r="N2" s="74"/>
      <c r="O2" s="74"/>
      <c r="P2" s="74"/>
      <c r="Q2" s="74"/>
      <c r="R2" s="74"/>
      <c r="S2" s="74"/>
      <c r="T2" s="74"/>
      <c r="U2" s="13"/>
      <c r="V2" s="13"/>
    </row>
    <row r="3" spans="1:24" s="19" customFormat="1">
      <c r="A3" s="216"/>
      <c r="B3" s="217"/>
      <c r="C3" s="183" t="s">
        <v>43</v>
      </c>
      <c r="D3" s="111" t="s">
        <v>46</v>
      </c>
      <c r="E3" s="111" t="s">
        <v>45</v>
      </c>
      <c r="F3" s="111" t="s">
        <v>44</v>
      </c>
      <c r="G3" s="211">
        <v>2014</v>
      </c>
      <c r="H3" s="183" t="s">
        <v>39</v>
      </c>
      <c r="I3" s="111" t="s">
        <v>42</v>
      </c>
      <c r="J3" s="111" t="s">
        <v>41</v>
      </c>
      <c r="K3" s="111" t="s">
        <v>40</v>
      </c>
      <c r="L3" s="211">
        <v>2015</v>
      </c>
      <c r="M3" s="183" t="s">
        <v>38</v>
      </c>
      <c r="N3" s="111" t="s">
        <v>37</v>
      </c>
      <c r="O3" s="111" t="s">
        <v>36</v>
      </c>
      <c r="P3" s="111" t="s">
        <v>35</v>
      </c>
      <c r="Q3" s="211">
        <v>2016</v>
      </c>
      <c r="R3" s="183" t="s">
        <v>34</v>
      </c>
      <c r="S3" s="111" t="s">
        <v>33</v>
      </c>
      <c r="T3" s="111" t="s">
        <v>52</v>
      </c>
      <c r="U3" s="111" t="s">
        <v>256</v>
      </c>
      <c r="V3" s="211">
        <v>2017</v>
      </c>
    </row>
    <row r="4" spans="1:24">
      <c r="A4" s="218"/>
      <c r="B4" s="219" t="s">
        <v>218</v>
      </c>
      <c r="C4" s="186">
        <v>1.8</v>
      </c>
      <c r="D4" s="163">
        <v>1.9</v>
      </c>
      <c r="E4" s="163">
        <v>2.9</v>
      </c>
      <c r="F4" s="163">
        <v>4</v>
      </c>
      <c r="G4" s="212">
        <f>+F4</f>
        <v>4</v>
      </c>
      <c r="H4" s="186">
        <v>3.6</v>
      </c>
      <c r="I4" s="163">
        <v>3.7</v>
      </c>
      <c r="J4" s="163">
        <v>4</v>
      </c>
      <c r="K4" s="163">
        <v>3.6</v>
      </c>
      <c r="L4" s="212">
        <f>+K4</f>
        <v>3.6</v>
      </c>
      <c r="M4" s="186">
        <v>3.1</v>
      </c>
      <c r="N4" s="163">
        <v>3</v>
      </c>
      <c r="O4" s="163">
        <v>3.7</v>
      </c>
      <c r="P4" s="163">
        <v>4.2</v>
      </c>
      <c r="Q4" s="212">
        <f>+P4</f>
        <v>4.2</v>
      </c>
      <c r="R4" s="186">
        <v>5.0999999999999996</v>
      </c>
      <c r="S4" s="163">
        <v>5.9</v>
      </c>
      <c r="T4" s="191">
        <v>5.4</v>
      </c>
      <c r="U4" s="191">
        <v>3.8</v>
      </c>
      <c r="V4" s="212">
        <f>+U4</f>
        <v>3.8</v>
      </c>
    </row>
    <row r="5" spans="1:24" ht="24">
      <c r="A5" s="218"/>
      <c r="B5" s="219" t="s">
        <v>219</v>
      </c>
      <c r="C5" s="186">
        <v>5</v>
      </c>
      <c r="D5" s="163">
        <v>4.8</v>
      </c>
      <c r="E5" s="163">
        <v>5.0999999999999996</v>
      </c>
      <c r="F5" s="163">
        <v>5.4</v>
      </c>
      <c r="G5" s="212">
        <f>+F5</f>
        <v>5.4</v>
      </c>
      <c r="H5" s="186">
        <v>5.5</v>
      </c>
      <c r="I5" s="163">
        <v>6</v>
      </c>
      <c r="J5" s="163">
        <v>6.7</v>
      </c>
      <c r="K5" s="163">
        <v>6.7</v>
      </c>
      <c r="L5" s="212">
        <f>+K5</f>
        <v>6.7</v>
      </c>
      <c r="M5" s="186">
        <v>7.1</v>
      </c>
      <c r="N5" s="163">
        <v>7.1</v>
      </c>
      <c r="O5" s="163">
        <v>7.1</v>
      </c>
      <c r="P5" s="163">
        <v>6.6</v>
      </c>
      <c r="Q5" s="212">
        <f>+P5</f>
        <v>6.6</v>
      </c>
      <c r="R5" s="186">
        <v>5.9</v>
      </c>
      <c r="S5" s="163">
        <v>5.9</v>
      </c>
      <c r="T5" s="191">
        <v>5.9</v>
      </c>
      <c r="U5" s="191">
        <v>6.8</v>
      </c>
      <c r="V5" s="212">
        <f>+U5</f>
        <v>6.8</v>
      </c>
    </row>
    <row r="6" spans="1:24">
      <c r="A6" s="218"/>
      <c r="B6" s="219"/>
      <c r="C6" s="188"/>
      <c r="D6" s="191"/>
      <c r="E6" s="191"/>
      <c r="F6" s="191"/>
      <c r="G6" s="213"/>
      <c r="H6" s="188"/>
      <c r="I6" s="191"/>
      <c r="J6" s="191"/>
      <c r="K6" s="191"/>
      <c r="L6" s="213"/>
      <c r="M6" s="188"/>
      <c r="N6" s="191"/>
      <c r="O6" s="191"/>
      <c r="P6" s="191"/>
      <c r="Q6" s="213"/>
      <c r="R6" s="188"/>
      <c r="S6" s="191"/>
      <c r="T6" s="191"/>
      <c r="U6" s="191"/>
      <c r="V6" s="213"/>
    </row>
    <row r="7" spans="1:24" s="421" customFormat="1" ht="3.6" customHeight="1">
      <c r="A7" s="465"/>
      <c r="B7" s="415"/>
      <c r="C7" s="466"/>
      <c r="D7" s="436"/>
      <c r="E7" s="436"/>
      <c r="F7" s="436"/>
      <c r="G7" s="467"/>
      <c r="H7" s="466"/>
      <c r="I7" s="436"/>
      <c r="J7" s="436"/>
      <c r="K7" s="436"/>
      <c r="L7" s="467"/>
      <c r="M7" s="466"/>
      <c r="N7" s="436"/>
      <c r="O7" s="436"/>
      <c r="P7" s="436"/>
      <c r="Q7" s="467"/>
      <c r="R7" s="466"/>
      <c r="S7" s="436"/>
      <c r="T7" s="436"/>
      <c r="U7" s="436"/>
      <c r="V7" s="467"/>
    </row>
    <row r="8" spans="1:24">
      <c r="A8" s="218"/>
      <c r="B8" s="219"/>
      <c r="C8" s="188"/>
      <c r="D8" s="191"/>
      <c r="E8" s="191"/>
      <c r="F8" s="191"/>
      <c r="G8" s="213"/>
      <c r="H8" s="188"/>
      <c r="I8" s="191"/>
      <c r="J8" s="191"/>
      <c r="K8" s="191"/>
      <c r="L8" s="213"/>
      <c r="M8" s="188"/>
      <c r="N8" s="191"/>
      <c r="O8" s="191"/>
      <c r="P8" s="191"/>
      <c r="Q8" s="213"/>
      <c r="R8" s="188"/>
      <c r="S8" s="191"/>
      <c r="T8" s="191"/>
      <c r="U8" s="191"/>
      <c r="V8" s="213"/>
    </row>
    <row r="9" spans="1:24">
      <c r="A9" s="218"/>
      <c r="B9" s="219" t="s">
        <v>47</v>
      </c>
      <c r="C9" s="186">
        <v>90.2</v>
      </c>
      <c r="D9" s="163">
        <v>92.8</v>
      </c>
      <c r="E9" s="163">
        <v>88.6</v>
      </c>
      <c r="F9" s="163">
        <v>90.6</v>
      </c>
      <c r="G9" s="212">
        <f>+F9</f>
        <v>90.6</v>
      </c>
      <c r="H9" s="186">
        <v>87.1</v>
      </c>
      <c r="I9" s="163">
        <v>88.4</v>
      </c>
      <c r="J9" s="163">
        <v>86</v>
      </c>
      <c r="K9" s="163">
        <v>89</v>
      </c>
      <c r="L9" s="212">
        <f>+K9</f>
        <v>89</v>
      </c>
      <c r="M9" s="186">
        <v>89.7</v>
      </c>
      <c r="N9" s="163">
        <v>88.6</v>
      </c>
      <c r="O9" s="163">
        <v>87.9</v>
      </c>
      <c r="P9" s="163">
        <v>86.6</v>
      </c>
      <c r="Q9" s="212">
        <f>+P9</f>
        <v>86.6</v>
      </c>
      <c r="R9" s="186">
        <v>86.5</v>
      </c>
      <c r="S9" s="163">
        <v>91.7</v>
      </c>
      <c r="T9" s="191">
        <v>98.3</v>
      </c>
      <c r="U9" s="191">
        <v>103.2</v>
      </c>
      <c r="V9" s="212">
        <f>+U9</f>
        <v>103.2</v>
      </c>
    </row>
    <row r="10" spans="1:24">
      <c r="B10" s="74"/>
      <c r="C10" s="74"/>
      <c r="D10" s="74"/>
      <c r="E10" s="74"/>
      <c r="F10" s="74"/>
      <c r="G10" s="74"/>
      <c r="H10" s="74"/>
      <c r="I10" s="74"/>
      <c r="J10" s="74"/>
      <c r="K10" s="74"/>
      <c r="L10" s="74"/>
      <c r="M10" s="74"/>
      <c r="N10" s="74"/>
      <c r="O10" s="74"/>
      <c r="P10" s="74"/>
      <c r="Q10" s="74"/>
      <c r="R10" s="74"/>
      <c r="S10" s="74"/>
      <c r="T10" s="193" t="s">
        <v>97</v>
      </c>
      <c r="U10" s="13"/>
      <c r="V10" s="13"/>
      <c r="W10" s="13"/>
      <c r="X10" s="13"/>
    </row>
    <row r="11" spans="1:24">
      <c r="B11" s="74"/>
      <c r="C11" s="74"/>
      <c r="D11" s="74"/>
      <c r="E11" s="74"/>
      <c r="F11" s="74"/>
      <c r="G11" s="74"/>
      <c r="H11" s="74"/>
      <c r="I11" s="74"/>
      <c r="J11" s="74"/>
      <c r="K11" s="74"/>
      <c r="L11" s="74"/>
      <c r="M11" s="74"/>
      <c r="N11" s="74"/>
      <c r="O11" s="74"/>
      <c r="P11" s="74"/>
      <c r="Q11" s="74"/>
      <c r="R11" s="74"/>
      <c r="S11" s="74"/>
      <c r="T11" s="193" t="s">
        <v>97</v>
      </c>
      <c r="U11" s="13"/>
      <c r="V11" s="13"/>
      <c r="W11" s="13"/>
      <c r="X11" s="13"/>
    </row>
    <row r="12" spans="1:24">
      <c r="B12" s="214" t="s">
        <v>118</v>
      </c>
      <c r="C12" s="74"/>
      <c r="D12" s="74"/>
      <c r="E12" s="74"/>
      <c r="F12" s="74"/>
      <c r="G12" s="74"/>
      <c r="H12" s="74"/>
      <c r="I12" s="74"/>
      <c r="J12" s="74"/>
      <c r="K12" s="74"/>
      <c r="L12" s="74"/>
      <c r="M12" s="74"/>
      <c r="N12" s="74"/>
      <c r="O12" s="74"/>
      <c r="P12" s="74"/>
      <c r="Q12" s="74"/>
      <c r="R12" s="74"/>
      <c r="S12" s="74"/>
      <c r="T12" s="74"/>
      <c r="U12" s="13"/>
      <c r="V12" s="13"/>
      <c r="W12" s="13"/>
      <c r="X12" s="13"/>
    </row>
    <row r="13" spans="1:24">
      <c r="B13" s="214" t="s">
        <v>119</v>
      </c>
      <c r="C13" s="74"/>
      <c r="D13" s="74"/>
      <c r="E13" s="74"/>
      <c r="F13" s="74"/>
      <c r="G13" s="74"/>
      <c r="H13" s="74"/>
      <c r="I13" s="74"/>
      <c r="J13" s="74"/>
      <c r="K13" s="74"/>
      <c r="L13" s="74"/>
      <c r="M13" s="74"/>
      <c r="N13" s="74"/>
      <c r="O13" s="74"/>
      <c r="P13" s="74"/>
      <c r="Q13" s="74"/>
      <c r="R13" s="74"/>
      <c r="S13" s="74"/>
      <c r="T13" s="74"/>
      <c r="U13" s="13"/>
      <c r="V13" s="13"/>
      <c r="W13" s="13"/>
      <c r="X13" s="13"/>
    </row>
    <row r="14" spans="1:24">
      <c r="B14" s="74"/>
      <c r="C14" s="74"/>
      <c r="D14" s="74"/>
      <c r="E14" s="74"/>
      <c r="F14" s="74"/>
      <c r="G14" s="74"/>
      <c r="H14" s="74"/>
      <c r="I14" s="74"/>
      <c r="J14" s="74"/>
      <c r="K14" s="74"/>
      <c r="L14" s="74"/>
      <c r="M14" s="74"/>
      <c r="N14" s="74"/>
      <c r="O14" s="74"/>
      <c r="P14" s="74"/>
      <c r="Q14" s="74"/>
      <c r="R14" s="74"/>
      <c r="S14" s="74"/>
      <c r="T14" s="74"/>
      <c r="U14" s="13"/>
      <c r="V14" s="13"/>
      <c r="W14" s="13"/>
      <c r="X14" s="13"/>
    </row>
    <row r="15" spans="1:24">
      <c r="B15" s="13"/>
      <c r="C15" s="13"/>
      <c r="D15" s="13"/>
      <c r="E15" s="13"/>
      <c r="F15" s="13"/>
      <c r="G15" s="13"/>
      <c r="H15" s="13"/>
      <c r="I15" s="13"/>
      <c r="J15" s="13"/>
      <c r="K15" s="13"/>
      <c r="L15" s="13"/>
      <c r="M15" s="13"/>
      <c r="N15" s="13"/>
      <c r="O15" s="13"/>
      <c r="P15" s="13"/>
      <c r="Q15" s="13"/>
      <c r="R15" s="13"/>
      <c r="S15" s="13"/>
      <c r="T15" s="13"/>
      <c r="U15" s="13"/>
      <c r="V15" s="13"/>
      <c r="W15" s="13"/>
      <c r="X15" s="13"/>
    </row>
    <row r="16" spans="1:24">
      <c r="B16" s="13"/>
      <c r="C16" s="13"/>
      <c r="D16" s="13"/>
      <c r="E16" s="13"/>
      <c r="F16" s="13"/>
      <c r="G16" s="13"/>
      <c r="H16" s="13"/>
      <c r="I16" s="13"/>
      <c r="J16" s="13"/>
      <c r="K16" s="13"/>
      <c r="L16" s="13"/>
      <c r="M16" s="13"/>
      <c r="N16" s="13"/>
      <c r="O16" s="13"/>
      <c r="P16" s="13"/>
      <c r="Q16" s="13"/>
      <c r="R16" s="13"/>
      <c r="S16" s="13"/>
      <c r="T16" s="13"/>
      <c r="U16" s="13"/>
      <c r="V16" s="13"/>
      <c r="W16" s="13"/>
      <c r="X16" s="13"/>
    </row>
    <row r="17" spans="2:24">
      <c r="B17" s="13"/>
      <c r="C17" s="13"/>
      <c r="D17" s="13"/>
      <c r="E17" s="13"/>
      <c r="F17" s="13"/>
      <c r="G17" s="13"/>
      <c r="H17" s="13"/>
      <c r="I17" s="13"/>
      <c r="J17" s="13"/>
      <c r="K17" s="13"/>
      <c r="L17" s="13"/>
      <c r="M17" s="13"/>
      <c r="N17" s="13"/>
      <c r="O17" s="13"/>
      <c r="P17" s="13"/>
      <c r="Q17" s="13"/>
      <c r="R17" s="13"/>
      <c r="S17" s="13"/>
      <c r="T17" s="13"/>
      <c r="U17" s="13"/>
      <c r="V17" s="13"/>
      <c r="W17" s="13"/>
      <c r="X17" s="13"/>
    </row>
    <row r="18" spans="2:24">
      <c r="B18" s="13"/>
      <c r="C18" s="13"/>
      <c r="D18" s="13"/>
      <c r="E18" s="13"/>
      <c r="F18" s="13"/>
      <c r="G18" s="13"/>
      <c r="H18" s="13"/>
      <c r="I18" s="13"/>
      <c r="J18" s="13"/>
      <c r="K18" s="13"/>
      <c r="L18" s="13"/>
      <c r="M18" s="13"/>
      <c r="N18" s="13"/>
      <c r="O18" s="13"/>
      <c r="P18" s="13"/>
      <c r="Q18" s="13"/>
      <c r="R18" s="13"/>
      <c r="S18" s="13"/>
      <c r="T18" s="13"/>
      <c r="U18" s="13"/>
      <c r="V18" s="13"/>
      <c r="W18" s="13"/>
      <c r="X18" s="13"/>
    </row>
    <row r="19" spans="2:24">
      <c r="B19" s="13"/>
      <c r="C19" s="13"/>
      <c r="D19" s="13"/>
      <c r="E19" s="13"/>
      <c r="F19" s="13"/>
      <c r="G19" s="13"/>
      <c r="H19" s="13"/>
      <c r="I19" s="13"/>
      <c r="J19" s="13"/>
      <c r="K19" s="13"/>
      <c r="L19" s="13"/>
      <c r="M19" s="13"/>
      <c r="N19" s="13"/>
      <c r="O19" s="13"/>
      <c r="P19" s="13"/>
      <c r="Q19" s="13"/>
      <c r="R19" s="13"/>
      <c r="S19" s="13"/>
      <c r="T19" s="13"/>
      <c r="U19" s="13"/>
      <c r="V19" s="13"/>
      <c r="W19" s="13"/>
      <c r="X19" s="13"/>
    </row>
    <row r="20" spans="2:24">
      <c r="B20" s="62"/>
      <c r="C20" s="13"/>
      <c r="D20" s="13"/>
      <c r="E20" s="13"/>
      <c r="F20" s="13"/>
      <c r="G20" s="13"/>
      <c r="H20" s="13"/>
      <c r="I20" s="13"/>
      <c r="J20" s="13"/>
      <c r="K20" s="13"/>
      <c r="L20" s="13"/>
      <c r="M20" s="13"/>
      <c r="N20" s="13"/>
      <c r="O20" s="13"/>
      <c r="P20" s="13"/>
      <c r="Q20" s="13"/>
      <c r="R20" s="13"/>
      <c r="S20" s="13"/>
      <c r="T20" s="13"/>
      <c r="U20" s="13"/>
      <c r="V20" s="13"/>
      <c r="W20" s="13"/>
      <c r="X20" s="13"/>
    </row>
    <row r="21" spans="2:24">
      <c r="B21" s="13"/>
      <c r="C21" s="13"/>
      <c r="D21" s="13"/>
      <c r="E21" s="13"/>
      <c r="F21" s="13"/>
      <c r="G21" s="13"/>
      <c r="H21" s="13"/>
      <c r="I21" s="13"/>
      <c r="J21" s="13"/>
      <c r="K21" s="13"/>
      <c r="L21" s="13"/>
      <c r="M21" s="13"/>
      <c r="N21" s="13"/>
      <c r="O21" s="13"/>
      <c r="P21" s="13"/>
      <c r="Q21" s="13"/>
      <c r="R21" s="13"/>
      <c r="S21" s="13"/>
      <c r="T21" s="13"/>
      <c r="U21" s="13"/>
      <c r="V21" s="13"/>
      <c r="W21" s="13"/>
      <c r="X21" s="13"/>
    </row>
    <row r="22" spans="2:24">
      <c r="B22" s="13"/>
      <c r="C22" s="13"/>
      <c r="D22" s="13"/>
      <c r="E22" s="13"/>
      <c r="F22" s="13"/>
      <c r="G22" s="13"/>
      <c r="H22" s="13"/>
      <c r="I22" s="13"/>
      <c r="J22" s="13"/>
      <c r="K22" s="13"/>
      <c r="L22" s="13"/>
      <c r="M22" s="13"/>
      <c r="N22" s="13"/>
      <c r="O22" s="13"/>
      <c r="P22" s="13"/>
      <c r="Q22" s="13"/>
      <c r="R22" s="13"/>
      <c r="S22" s="13"/>
      <c r="T22" s="13"/>
      <c r="U22" s="13"/>
      <c r="V22" s="13"/>
      <c r="W22" s="13"/>
      <c r="X22" s="13"/>
    </row>
    <row r="23" spans="2:24">
      <c r="B23" s="13"/>
      <c r="C23" s="13"/>
      <c r="D23" s="13"/>
      <c r="E23" s="13"/>
      <c r="F23" s="13"/>
      <c r="G23" s="13"/>
      <c r="H23" s="13"/>
      <c r="I23" s="13"/>
      <c r="J23" s="13"/>
      <c r="K23" s="13"/>
      <c r="L23" s="13"/>
      <c r="M23" s="13"/>
      <c r="N23" s="13"/>
      <c r="O23" s="13"/>
      <c r="P23" s="13"/>
      <c r="Q23" s="13"/>
      <c r="R23" s="13"/>
      <c r="S23" s="13"/>
      <c r="T23" s="13"/>
      <c r="U23" s="13"/>
      <c r="V23" s="13"/>
      <c r="W23" s="13"/>
      <c r="X23" s="13"/>
    </row>
    <row r="24" spans="2:24">
      <c r="B24" s="13"/>
      <c r="C24" s="13"/>
      <c r="D24" s="13"/>
      <c r="E24" s="13"/>
      <c r="F24" s="13"/>
      <c r="G24" s="13"/>
      <c r="H24" s="13"/>
      <c r="I24" s="13"/>
      <c r="J24" s="13"/>
      <c r="K24" s="13"/>
      <c r="L24" s="13"/>
      <c r="M24" s="13"/>
      <c r="N24" s="13"/>
      <c r="O24" s="13"/>
      <c r="P24" s="13"/>
      <c r="Q24" s="13"/>
      <c r="R24" s="13"/>
      <c r="S24" s="13"/>
      <c r="T24" s="13"/>
      <c r="U24" s="13"/>
      <c r="V24" s="13"/>
      <c r="W24" s="13"/>
      <c r="X24" s="13"/>
    </row>
    <row r="25" spans="2:24">
      <c r="B25" s="13"/>
      <c r="C25" s="13"/>
      <c r="D25" s="13"/>
      <c r="E25" s="13"/>
      <c r="F25" s="13"/>
      <c r="G25" s="13"/>
      <c r="H25" s="13"/>
      <c r="I25" s="13"/>
      <c r="J25" s="13"/>
      <c r="K25" s="13"/>
      <c r="L25" s="13"/>
      <c r="M25" s="13"/>
      <c r="N25" s="13"/>
      <c r="O25" s="13"/>
      <c r="P25" s="13"/>
      <c r="Q25" s="13"/>
      <c r="R25" s="13"/>
      <c r="S25" s="13"/>
      <c r="T25" s="13"/>
      <c r="U25" s="13"/>
      <c r="V25" s="13"/>
      <c r="W25" s="13"/>
      <c r="X25" s="13"/>
    </row>
    <row r="26" spans="2:24">
      <c r="B26" s="13"/>
      <c r="C26" s="13"/>
      <c r="D26" s="13"/>
      <c r="E26" s="13"/>
      <c r="F26" s="13"/>
      <c r="G26" s="13"/>
      <c r="H26" s="13"/>
      <c r="I26" s="13"/>
      <c r="J26" s="13"/>
      <c r="K26" s="13"/>
      <c r="L26" s="13"/>
      <c r="M26" s="13"/>
      <c r="N26" s="13"/>
      <c r="O26" s="13"/>
      <c r="P26" s="13"/>
      <c r="Q26" s="13"/>
      <c r="R26" s="13"/>
      <c r="S26" s="13"/>
      <c r="T26" s="13"/>
      <c r="U26" s="13"/>
      <c r="V26" s="13"/>
      <c r="W26" s="13"/>
      <c r="X26" s="13"/>
    </row>
    <row r="27" spans="2:24">
      <c r="B27" s="13"/>
      <c r="C27" s="13"/>
      <c r="D27" s="13"/>
      <c r="E27" s="13"/>
      <c r="F27" s="13"/>
      <c r="G27" s="13"/>
      <c r="H27" s="13"/>
      <c r="I27" s="13"/>
      <c r="J27" s="13"/>
      <c r="K27" s="13"/>
      <c r="L27" s="13"/>
      <c r="M27" s="13"/>
      <c r="N27" s="13"/>
      <c r="O27" s="13"/>
      <c r="P27" s="13"/>
      <c r="Q27" s="13"/>
      <c r="R27" s="13"/>
      <c r="S27" s="13"/>
      <c r="T27" s="13"/>
      <c r="U27" s="13"/>
      <c r="V27" s="13"/>
      <c r="W27" s="13"/>
      <c r="X27" s="13"/>
    </row>
    <row r="28" spans="2:24">
      <c r="B28" s="13"/>
      <c r="C28" s="13"/>
      <c r="D28" s="13"/>
      <c r="E28" s="13"/>
      <c r="F28" s="13"/>
      <c r="G28" s="13"/>
      <c r="H28" s="13"/>
      <c r="I28" s="13"/>
      <c r="J28" s="13"/>
      <c r="K28" s="13"/>
      <c r="L28" s="13"/>
      <c r="M28" s="13"/>
      <c r="N28" s="13"/>
      <c r="O28" s="13"/>
      <c r="P28" s="13"/>
      <c r="Q28" s="13"/>
      <c r="R28" s="13"/>
      <c r="S28" s="13"/>
      <c r="T28" s="13"/>
      <c r="U28" s="13"/>
      <c r="V28" s="13"/>
      <c r="W28" s="13"/>
      <c r="X28" s="13"/>
    </row>
    <row r="29" spans="2:24">
      <c r="B29" s="13"/>
      <c r="C29" s="13"/>
      <c r="D29" s="13"/>
      <c r="E29" s="13"/>
      <c r="F29" s="13"/>
      <c r="G29" s="13"/>
      <c r="H29" s="13"/>
      <c r="I29" s="13"/>
      <c r="J29" s="13"/>
      <c r="K29" s="13"/>
      <c r="L29" s="13"/>
      <c r="M29" s="13"/>
      <c r="N29" s="13"/>
      <c r="O29" s="13"/>
      <c r="P29" s="13"/>
      <c r="Q29" s="13"/>
      <c r="R29" s="13"/>
      <c r="S29" s="13"/>
      <c r="T29" s="13"/>
      <c r="U29" s="13"/>
      <c r="V29" s="13"/>
      <c r="W29" s="13"/>
      <c r="X29" s="13"/>
    </row>
    <row r="30" spans="2:24">
      <c r="B30" s="13"/>
      <c r="C30" s="13"/>
      <c r="D30" s="13"/>
      <c r="E30" s="13"/>
      <c r="F30" s="13"/>
      <c r="G30" s="13"/>
      <c r="H30" s="13"/>
      <c r="I30" s="13"/>
      <c r="J30" s="13"/>
      <c r="K30" s="13"/>
      <c r="L30" s="13"/>
      <c r="M30" s="13"/>
      <c r="N30" s="13"/>
      <c r="O30" s="13"/>
      <c r="P30" s="13"/>
      <c r="Q30" s="13"/>
      <c r="R30" s="13"/>
      <c r="S30" s="13"/>
      <c r="T30" s="13"/>
      <c r="U30" s="13"/>
      <c r="V30" s="13"/>
      <c r="W30" s="13"/>
      <c r="X30" s="13"/>
    </row>
    <row r="31" spans="2:24">
      <c r="B31" s="13"/>
      <c r="C31" s="13"/>
      <c r="D31" s="13"/>
      <c r="E31" s="13"/>
      <c r="F31" s="13"/>
      <c r="G31" s="13"/>
      <c r="H31" s="13"/>
      <c r="I31" s="13"/>
      <c r="J31" s="13"/>
      <c r="K31" s="13"/>
      <c r="L31" s="13"/>
      <c r="M31" s="13"/>
      <c r="N31" s="13"/>
      <c r="O31" s="13"/>
      <c r="P31" s="13"/>
      <c r="Q31" s="13"/>
      <c r="R31" s="13"/>
      <c r="S31" s="13"/>
      <c r="T31" s="13"/>
      <c r="U31" s="13"/>
      <c r="V31" s="13"/>
      <c r="W31" s="13"/>
      <c r="X31" s="13"/>
    </row>
    <row r="32" spans="2:24">
      <c r="B32" s="13"/>
      <c r="C32" s="13"/>
      <c r="D32" s="13"/>
      <c r="E32" s="13"/>
      <c r="F32" s="13"/>
      <c r="G32" s="13"/>
      <c r="H32" s="13"/>
      <c r="I32" s="13"/>
      <c r="J32" s="13"/>
      <c r="K32" s="13"/>
      <c r="L32" s="13"/>
      <c r="M32" s="13"/>
      <c r="N32" s="13"/>
      <c r="O32" s="13"/>
      <c r="P32" s="13"/>
      <c r="Q32" s="13"/>
      <c r="R32" s="13"/>
      <c r="S32" s="13"/>
      <c r="T32" s="13"/>
      <c r="U32" s="13"/>
      <c r="V32" s="13"/>
      <c r="W32" s="13"/>
      <c r="X32" s="13"/>
    </row>
    <row r="33" spans="2:24">
      <c r="B33" s="13"/>
      <c r="C33" s="13"/>
      <c r="D33" s="13"/>
      <c r="E33" s="13"/>
      <c r="F33" s="13"/>
      <c r="G33" s="13"/>
      <c r="H33" s="13"/>
      <c r="I33" s="13"/>
      <c r="J33" s="13"/>
      <c r="K33" s="13"/>
      <c r="L33" s="13"/>
      <c r="M33" s="13"/>
      <c r="N33" s="13"/>
      <c r="O33" s="13"/>
      <c r="P33" s="13"/>
      <c r="Q33" s="13"/>
      <c r="R33" s="13"/>
      <c r="S33" s="13"/>
      <c r="T33" s="13"/>
      <c r="U33" s="13"/>
      <c r="V33" s="13"/>
      <c r="W33" s="13"/>
      <c r="X33" s="13"/>
    </row>
    <row r="34" spans="2:24">
      <c r="B34" s="13"/>
      <c r="C34" s="13"/>
      <c r="D34" s="13"/>
      <c r="E34" s="13"/>
      <c r="F34" s="13"/>
      <c r="G34" s="13"/>
      <c r="H34" s="13"/>
      <c r="I34" s="13"/>
      <c r="J34" s="13"/>
      <c r="K34" s="13"/>
      <c r="L34" s="13"/>
      <c r="M34" s="13"/>
      <c r="N34" s="13"/>
      <c r="O34" s="13"/>
      <c r="P34" s="13"/>
      <c r="Q34" s="13"/>
      <c r="R34" s="13"/>
      <c r="S34" s="13"/>
      <c r="T34" s="13"/>
      <c r="U34" s="13"/>
      <c r="V34" s="13"/>
      <c r="W34" s="13"/>
      <c r="X34" s="13"/>
    </row>
    <row r="35" spans="2:24">
      <c r="B35" s="13"/>
      <c r="C35" s="13"/>
      <c r="D35" s="13"/>
      <c r="E35" s="13"/>
      <c r="F35" s="13"/>
      <c r="G35" s="13"/>
      <c r="H35" s="13"/>
      <c r="I35" s="13"/>
      <c r="J35" s="13"/>
      <c r="K35" s="13"/>
      <c r="L35" s="13"/>
      <c r="M35" s="13"/>
      <c r="N35" s="13"/>
      <c r="O35" s="13"/>
      <c r="P35" s="13"/>
      <c r="Q35" s="13"/>
      <c r="R35" s="13"/>
      <c r="S35" s="13"/>
      <c r="T35" s="13"/>
      <c r="U35" s="13"/>
      <c r="V35" s="13"/>
      <c r="W35" s="13"/>
      <c r="X35" s="13"/>
    </row>
    <row r="36" spans="2:24">
      <c r="B36" s="13"/>
      <c r="C36" s="13"/>
      <c r="D36" s="13"/>
      <c r="E36" s="13"/>
      <c r="F36" s="13"/>
      <c r="G36" s="13"/>
      <c r="H36" s="13"/>
      <c r="I36" s="13"/>
      <c r="J36" s="13"/>
      <c r="K36" s="13"/>
      <c r="L36" s="13"/>
      <c r="M36" s="13"/>
      <c r="N36" s="13"/>
      <c r="O36" s="13"/>
      <c r="P36" s="13"/>
      <c r="Q36" s="13"/>
      <c r="R36" s="13"/>
      <c r="S36" s="13"/>
      <c r="T36" s="13"/>
      <c r="U36" s="13"/>
      <c r="V36" s="13"/>
      <c r="W36" s="13"/>
      <c r="X36" s="13"/>
    </row>
    <row r="37" spans="2:24">
      <c r="B37" s="13"/>
      <c r="C37" s="13"/>
      <c r="D37" s="13"/>
      <c r="E37" s="13"/>
      <c r="F37" s="13"/>
      <c r="G37" s="13"/>
      <c r="H37" s="13"/>
      <c r="I37" s="13"/>
      <c r="J37" s="13"/>
      <c r="K37" s="13"/>
      <c r="L37" s="13"/>
      <c r="M37" s="13"/>
      <c r="N37" s="13"/>
      <c r="O37" s="13"/>
      <c r="P37" s="13"/>
      <c r="Q37" s="13"/>
      <c r="R37" s="13"/>
      <c r="S37" s="13"/>
      <c r="T37" s="13"/>
      <c r="U37" s="13"/>
      <c r="V37" s="13"/>
      <c r="W37" s="13"/>
      <c r="X37" s="13"/>
    </row>
    <row r="38" spans="2:24">
      <c r="B38" s="13"/>
      <c r="C38" s="13"/>
      <c r="D38" s="13"/>
      <c r="E38" s="13"/>
      <c r="F38" s="13"/>
      <c r="G38" s="13"/>
      <c r="H38" s="13"/>
      <c r="I38" s="13"/>
      <c r="J38" s="13"/>
      <c r="K38" s="13"/>
      <c r="L38" s="13"/>
      <c r="M38" s="13"/>
      <c r="N38" s="13"/>
      <c r="O38" s="13"/>
      <c r="P38" s="13"/>
      <c r="Q38" s="13"/>
      <c r="R38" s="13"/>
      <c r="S38" s="13"/>
      <c r="T38" s="13"/>
      <c r="U38" s="13"/>
      <c r="V38" s="13"/>
      <c r="W38" s="13"/>
      <c r="X38" s="13"/>
    </row>
    <row r="39" spans="2:24">
      <c r="B39" s="13"/>
      <c r="C39" s="13"/>
      <c r="D39" s="13"/>
      <c r="E39" s="13"/>
      <c r="F39" s="13"/>
      <c r="G39" s="13"/>
      <c r="H39" s="13"/>
      <c r="I39" s="13"/>
      <c r="J39" s="13"/>
      <c r="K39" s="13"/>
      <c r="L39" s="13"/>
      <c r="M39" s="13"/>
      <c r="N39" s="13"/>
      <c r="O39" s="13"/>
      <c r="P39" s="13"/>
      <c r="Q39" s="13"/>
      <c r="R39" s="13"/>
      <c r="S39" s="13"/>
      <c r="T39" s="13"/>
      <c r="U39" s="13"/>
      <c r="V39" s="13"/>
      <c r="W39" s="13"/>
      <c r="X39" s="13"/>
    </row>
    <row r="40" spans="2:24">
      <c r="B40" s="13"/>
      <c r="C40" s="13"/>
      <c r="D40" s="13"/>
      <c r="E40" s="13"/>
      <c r="F40" s="13"/>
      <c r="G40" s="13"/>
      <c r="H40" s="13"/>
      <c r="I40" s="13"/>
      <c r="J40" s="13"/>
      <c r="K40" s="13"/>
      <c r="L40" s="13"/>
      <c r="M40" s="13"/>
      <c r="N40" s="13"/>
      <c r="O40" s="13"/>
      <c r="P40" s="13"/>
      <c r="Q40" s="13"/>
      <c r="R40" s="13"/>
      <c r="S40" s="13"/>
      <c r="T40" s="13"/>
      <c r="U40" s="13"/>
      <c r="V40" s="13"/>
      <c r="W40" s="13"/>
      <c r="X40" s="13"/>
    </row>
    <row r="41" spans="2:24">
      <c r="B41" s="13"/>
      <c r="C41" s="13"/>
      <c r="D41" s="13"/>
      <c r="E41" s="13"/>
      <c r="F41" s="13"/>
      <c r="G41" s="13"/>
      <c r="H41" s="13"/>
      <c r="I41" s="13"/>
      <c r="J41" s="13"/>
      <c r="K41" s="13"/>
      <c r="L41" s="13"/>
      <c r="M41" s="13"/>
      <c r="N41" s="13"/>
      <c r="O41" s="13"/>
      <c r="P41" s="13"/>
      <c r="Q41" s="13"/>
      <c r="R41" s="13"/>
      <c r="S41" s="13"/>
      <c r="T41" s="13"/>
      <c r="U41" s="13"/>
      <c r="V41" s="13"/>
      <c r="W41" s="13"/>
      <c r="X41" s="13"/>
    </row>
    <row r="42" spans="2:24">
      <c r="B42" s="13"/>
      <c r="C42" s="13"/>
      <c r="D42" s="13"/>
      <c r="E42" s="13"/>
      <c r="F42" s="13"/>
      <c r="G42" s="13"/>
      <c r="H42" s="13"/>
      <c r="I42" s="13"/>
      <c r="J42" s="13"/>
      <c r="K42" s="13"/>
      <c r="L42" s="13"/>
      <c r="M42" s="13"/>
      <c r="N42" s="13"/>
      <c r="O42" s="13"/>
      <c r="P42" s="13"/>
      <c r="Q42" s="13"/>
      <c r="R42" s="13"/>
      <c r="S42" s="13"/>
      <c r="T42" s="13"/>
      <c r="U42" s="13"/>
      <c r="V42" s="13"/>
      <c r="W42" s="13"/>
      <c r="X42" s="13"/>
    </row>
    <row r="43" spans="2:24">
      <c r="B43" s="13"/>
      <c r="C43" s="13"/>
      <c r="D43" s="13"/>
      <c r="E43" s="13"/>
      <c r="F43" s="13"/>
      <c r="G43" s="13"/>
      <c r="H43" s="13"/>
      <c r="I43" s="13"/>
      <c r="J43" s="13"/>
      <c r="K43" s="13"/>
      <c r="L43" s="13"/>
      <c r="M43" s="13"/>
      <c r="N43" s="13"/>
      <c r="O43" s="13"/>
      <c r="P43" s="13"/>
      <c r="Q43" s="13"/>
      <c r="R43" s="13"/>
      <c r="S43" s="13"/>
      <c r="T43" s="13"/>
      <c r="U43" s="13"/>
      <c r="V43" s="13"/>
      <c r="W43" s="13"/>
      <c r="X43" s="13"/>
    </row>
    <row r="44" spans="2:24">
      <c r="B44" s="13"/>
      <c r="C44" s="13"/>
      <c r="D44" s="13"/>
      <c r="E44" s="13"/>
      <c r="F44" s="13"/>
      <c r="G44" s="13"/>
      <c r="H44" s="13"/>
      <c r="I44" s="13"/>
      <c r="J44" s="13"/>
      <c r="K44" s="13"/>
      <c r="L44" s="13"/>
      <c r="M44" s="13"/>
      <c r="N44" s="13"/>
      <c r="O44" s="13"/>
      <c r="P44" s="13"/>
      <c r="Q44" s="13"/>
      <c r="R44" s="13"/>
      <c r="S44" s="13"/>
      <c r="T44" s="13"/>
      <c r="U44" s="13"/>
      <c r="V44" s="13"/>
      <c r="W44" s="13"/>
      <c r="X44" s="13"/>
    </row>
    <row r="45" spans="2:24">
      <c r="B45" s="13"/>
      <c r="C45" s="13"/>
      <c r="D45" s="13"/>
      <c r="E45" s="13"/>
      <c r="F45" s="13"/>
      <c r="G45" s="13"/>
      <c r="H45" s="13"/>
      <c r="I45" s="13"/>
      <c r="J45" s="13"/>
      <c r="K45" s="13"/>
      <c r="L45" s="13"/>
      <c r="M45" s="13"/>
      <c r="N45" s="13"/>
      <c r="O45" s="13"/>
      <c r="P45" s="13"/>
      <c r="Q45" s="13"/>
      <c r="R45" s="13"/>
      <c r="S45" s="13"/>
      <c r="T45" s="13"/>
      <c r="U45" s="13"/>
      <c r="V45" s="13"/>
      <c r="W45" s="13"/>
      <c r="X45" s="13"/>
    </row>
    <row r="46" spans="2:24">
      <c r="B46" s="13"/>
      <c r="C46" s="13"/>
      <c r="D46" s="13"/>
      <c r="E46" s="13"/>
      <c r="F46" s="13"/>
      <c r="G46" s="13"/>
      <c r="H46" s="13"/>
      <c r="I46" s="13"/>
      <c r="J46" s="13"/>
      <c r="K46" s="13"/>
      <c r="L46" s="13"/>
      <c r="M46" s="13"/>
      <c r="N46" s="13"/>
      <c r="O46" s="13"/>
      <c r="P46" s="13"/>
      <c r="Q46" s="13"/>
      <c r="R46" s="13"/>
      <c r="S46" s="13"/>
      <c r="T46" s="13"/>
      <c r="U46" s="13"/>
      <c r="V46" s="13"/>
      <c r="W46" s="13"/>
      <c r="X46" s="13"/>
    </row>
    <row r="47" spans="2:24">
      <c r="B47" s="13"/>
      <c r="C47" s="13"/>
      <c r="D47" s="13"/>
      <c r="E47" s="13"/>
      <c r="F47" s="13"/>
      <c r="G47" s="13"/>
      <c r="H47" s="13"/>
      <c r="I47" s="13"/>
      <c r="J47" s="13"/>
      <c r="K47" s="13"/>
      <c r="L47" s="13"/>
      <c r="M47" s="13"/>
      <c r="N47" s="13"/>
      <c r="O47" s="13"/>
      <c r="P47" s="13"/>
      <c r="Q47" s="13"/>
      <c r="R47" s="13"/>
      <c r="S47" s="13"/>
      <c r="T47" s="13"/>
      <c r="U47" s="13"/>
      <c r="V47" s="13"/>
      <c r="W47" s="13"/>
      <c r="X47" s="13"/>
    </row>
    <row r="48" spans="2:24">
      <c r="B48" s="13"/>
      <c r="C48" s="13"/>
      <c r="D48" s="13"/>
      <c r="E48" s="13"/>
      <c r="F48" s="13"/>
      <c r="G48" s="13"/>
      <c r="H48" s="13"/>
      <c r="I48" s="13"/>
      <c r="J48" s="13"/>
      <c r="K48" s="13"/>
      <c r="L48" s="13"/>
      <c r="M48" s="13"/>
      <c r="N48" s="13"/>
      <c r="O48" s="13"/>
      <c r="P48" s="13"/>
      <c r="Q48" s="13"/>
      <c r="R48" s="13"/>
      <c r="S48" s="13"/>
      <c r="T48" s="13"/>
      <c r="U48" s="13"/>
      <c r="V48" s="13"/>
      <c r="W48" s="13"/>
      <c r="X48" s="13"/>
    </row>
    <row r="49" spans="2:24">
      <c r="B49" s="13"/>
      <c r="C49" s="13"/>
      <c r="D49" s="13"/>
      <c r="E49" s="13"/>
      <c r="F49" s="13"/>
      <c r="G49" s="13"/>
      <c r="H49" s="13"/>
      <c r="I49" s="13"/>
      <c r="J49" s="13"/>
      <c r="K49" s="13"/>
      <c r="L49" s="13"/>
      <c r="M49" s="13"/>
      <c r="N49" s="13"/>
      <c r="O49" s="13"/>
      <c r="P49" s="13"/>
      <c r="Q49" s="13"/>
      <c r="R49" s="13"/>
      <c r="S49" s="13"/>
      <c r="T49" s="13"/>
      <c r="U49" s="13"/>
      <c r="V49" s="13"/>
      <c r="W49" s="13"/>
      <c r="X49" s="13"/>
    </row>
    <row r="50" spans="2:24">
      <c r="B50" s="13"/>
      <c r="C50" s="13"/>
      <c r="D50" s="13"/>
      <c r="E50" s="13"/>
      <c r="F50" s="13"/>
      <c r="G50" s="13"/>
      <c r="H50" s="13"/>
      <c r="I50" s="13"/>
      <c r="J50" s="13"/>
      <c r="K50" s="13"/>
      <c r="L50" s="13"/>
      <c r="M50" s="13"/>
      <c r="N50" s="13"/>
      <c r="O50" s="13"/>
      <c r="P50" s="13"/>
      <c r="Q50" s="13"/>
      <c r="R50" s="13"/>
      <c r="S50" s="13"/>
      <c r="T50" s="13"/>
      <c r="U50" s="13"/>
      <c r="V50" s="13"/>
      <c r="W50" s="13"/>
      <c r="X50" s="13"/>
    </row>
    <row r="51" spans="2:24">
      <c r="B51" s="13"/>
      <c r="C51" s="13"/>
      <c r="D51" s="13"/>
      <c r="E51" s="13"/>
      <c r="F51" s="13"/>
      <c r="G51" s="13"/>
      <c r="H51" s="13"/>
      <c r="I51" s="13"/>
      <c r="J51" s="13"/>
      <c r="K51" s="13"/>
      <c r="L51" s="13"/>
      <c r="M51" s="13"/>
      <c r="N51" s="13"/>
      <c r="O51" s="13"/>
      <c r="P51" s="13"/>
      <c r="Q51" s="13"/>
      <c r="R51" s="13"/>
      <c r="S51" s="13"/>
      <c r="T51" s="13"/>
      <c r="U51" s="13"/>
      <c r="V51" s="13"/>
      <c r="W51" s="13"/>
      <c r="X51" s="13"/>
    </row>
    <row r="52" spans="2:24">
      <c r="B52" s="13"/>
      <c r="C52" s="13"/>
      <c r="D52" s="13"/>
      <c r="E52" s="13"/>
      <c r="F52" s="13"/>
      <c r="G52" s="13"/>
      <c r="H52" s="13"/>
      <c r="I52" s="13"/>
      <c r="J52" s="13"/>
      <c r="K52" s="13"/>
      <c r="L52" s="13"/>
      <c r="M52" s="13"/>
      <c r="N52" s="13"/>
      <c r="O52" s="13"/>
      <c r="P52" s="13"/>
      <c r="Q52" s="13"/>
      <c r="R52" s="13"/>
      <c r="S52" s="13"/>
      <c r="T52" s="13"/>
      <c r="U52" s="13"/>
      <c r="V52" s="13"/>
      <c r="W52" s="13"/>
      <c r="X52" s="13"/>
    </row>
    <row r="53" spans="2:24">
      <c r="B53" s="13"/>
      <c r="C53" s="13"/>
      <c r="D53" s="13"/>
      <c r="E53" s="13"/>
      <c r="F53" s="13"/>
      <c r="G53" s="13"/>
      <c r="H53" s="13"/>
      <c r="I53" s="13"/>
      <c r="J53" s="13"/>
      <c r="K53" s="13"/>
      <c r="L53" s="13"/>
      <c r="M53" s="13"/>
      <c r="N53" s="13"/>
      <c r="O53" s="13"/>
      <c r="P53" s="13"/>
      <c r="Q53" s="13"/>
      <c r="R53" s="13"/>
      <c r="S53" s="13"/>
      <c r="T53" s="13"/>
      <c r="U53" s="13"/>
      <c r="V53" s="13"/>
      <c r="W53" s="13"/>
      <c r="X53" s="13"/>
    </row>
  </sheetData>
  <pageMargins left="0.2" right="0.2" top="0.75" bottom="0.5" header="0.3" footer="0.3"/>
  <pageSetup paperSize="5" scale="7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5"/>
  <sheetViews>
    <sheetView zoomScaleNormal="100" workbookViewId="0">
      <pane xSplit="1" ySplit="3" topLeftCell="H4" activePane="bottomRight" state="frozen"/>
      <selection pane="topRight" activeCell="C1" sqref="C1"/>
      <selection pane="bottomLeft" activeCell="A3" sqref="A3"/>
      <selection pane="bottomRight" activeCell="A11" sqref="A11"/>
    </sheetView>
  </sheetViews>
  <sheetFormatPr defaultColWidth="9.109375" defaultRowHeight="14.4" outlineLevelRow="1" outlineLevelCol="1"/>
  <cols>
    <col min="1" max="1" width="58.6640625" style="7" customWidth="1"/>
    <col min="2" max="2" width="9" style="2" customWidth="1" outlineLevel="1"/>
    <col min="3" max="3" width="11" style="13" customWidth="1" outlineLevel="1"/>
    <col min="4" max="4" width="9.88671875" style="13" customWidth="1" outlineLevel="1"/>
    <col min="5" max="5" width="9.6640625" style="13" bestFit="1" customWidth="1" outlineLevel="1"/>
    <col min="6" max="6" width="9.6640625" style="65" bestFit="1" customWidth="1"/>
    <col min="7" max="7" width="9.6640625" style="65" bestFit="1" customWidth="1" outlineLevel="1"/>
    <col min="8" max="10" width="9.6640625" style="13" bestFit="1" customWidth="1" outlineLevel="1"/>
    <col min="11" max="11" width="10.33203125" style="65" bestFit="1" customWidth="1"/>
    <col min="12" max="12" width="9.6640625" style="65" bestFit="1" customWidth="1" outlineLevel="1"/>
    <col min="13" max="15" width="9.6640625" style="13" bestFit="1" customWidth="1" outlineLevel="1"/>
    <col min="16" max="16" width="10.33203125" style="65" bestFit="1" customWidth="1"/>
    <col min="17" max="17" width="9.6640625" style="65" bestFit="1" customWidth="1" outlineLevel="1"/>
    <col min="18" max="18" width="9.6640625" style="13" bestFit="1" customWidth="1" outlineLevel="1"/>
    <col min="19" max="19" width="9.109375" style="13" customWidth="1" outlineLevel="1"/>
    <col min="20" max="20" width="9.109375" style="13" outlineLevel="1"/>
    <col min="21" max="21" width="10.21875" style="13" customWidth="1"/>
    <col min="22" max="16384" width="9.109375" style="13"/>
  </cols>
  <sheetData>
    <row r="1" spans="1:21">
      <c r="A1" s="184" t="s">
        <v>248</v>
      </c>
      <c r="B1" s="13"/>
      <c r="F1" s="13"/>
      <c r="G1" s="13"/>
      <c r="K1" s="13"/>
      <c r="L1" s="13"/>
      <c r="P1" s="13"/>
      <c r="Q1" s="13"/>
    </row>
    <row r="2" spans="1:21">
      <c r="A2" s="373" t="s">
        <v>215</v>
      </c>
      <c r="B2" s="74"/>
      <c r="C2" s="74"/>
      <c r="D2" s="74"/>
      <c r="E2" s="74"/>
      <c r="F2" s="74"/>
      <c r="G2" s="74"/>
      <c r="H2" s="74"/>
      <c r="I2" s="74"/>
      <c r="J2" s="74"/>
      <c r="K2" s="74"/>
      <c r="L2" s="74"/>
      <c r="M2" s="74"/>
      <c r="N2" s="74"/>
      <c r="O2" s="74"/>
      <c r="P2" s="74"/>
      <c r="Q2" s="74"/>
      <c r="R2" s="74"/>
      <c r="S2" s="74"/>
      <c r="T2" s="74"/>
      <c r="U2" s="74"/>
    </row>
    <row r="3" spans="1:21" s="19" customFormat="1">
      <c r="A3" s="85"/>
      <c r="B3" s="108" t="s">
        <v>43</v>
      </c>
      <c r="C3" s="108" t="s">
        <v>46</v>
      </c>
      <c r="D3" s="108" t="s">
        <v>45</v>
      </c>
      <c r="E3" s="108" t="s">
        <v>44</v>
      </c>
      <c r="F3" s="246">
        <v>2014</v>
      </c>
      <c r="G3" s="246" t="s">
        <v>39</v>
      </c>
      <c r="H3" s="108" t="s">
        <v>42</v>
      </c>
      <c r="I3" s="108" t="s">
        <v>41</v>
      </c>
      <c r="J3" s="108" t="s">
        <v>40</v>
      </c>
      <c r="K3" s="246">
        <v>2015</v>
      </c>
      <c r="L3" s="246" t="s">
        <v>38</v>
      </c>
      <c r="M3" s="108" t="s">
        <v>37</v>
      </c>
      <c r="N3" s="108" t="s">
        <v>36</v>
      </c>
      <c r="O3" s="108" t="s">
        <v>35</v>
      </c>
      <c r="P3" s="246">
        <v>2016</v>
      </c>
      <c r="Q3" s="246" t="s">
        <v>34</v>
      </c>
      <c r="R3" s="108" t="s">
        <v>33</v>
      </c>
      <c r="S3" s="108" t="s">
        <v>52</v>
      </c>
      <c r="T3" s="108" t="s">
        <v>256</v>
      </c>
      <c r="U3" s="246">
        <v>2017</v>
      </c>
    </row>
    <row r="4" spans="1:21">
      <c r="A4" s="184" t="s">
        <v>97</v>
      </c>
      <c r="B4" s="77"/>
      <c r="C4" s="78"/>
      <c r="D4" s="74"/>
      <c r="E4" s="74"/>
      <c r="F4" s="160"/>
      <c r="G4" s="160"/>
      <c r="H4" s="74"/>
      <c r="I4" s="74"/>
      <c r="J4" s="74"/>
      <c r="K4" s="160"/>
      <c r="L4" s="160"/>
      <c r="M4" s="74"/>
      <c r="N4" s="74"/>
      <c r="O4" s="74"/>
      <c r="P4" s="160"/>
      <c r="Q4" s="160"/>
      <c r="R4" s="74"/>
      <c r="S4" s="74"/>
      <c r="T4" s="74"/>
      <c r="U4" s="160"/>
    </row>
    <row r="5" spans="1:21" s="435" customFormat="1">
      <c r="A5" s="468" t="s">
        <v>243</v>
      </c>
      <c r="B5" s="469"/>
      <c r="C5" s="469"/>
      <c r="D5" s="469"/>
      <c r="E5" s="469"/>
      <c r="F5" s="470"/>
      <c r="G5" s="470"/>
      <c r="H5" s="469"/>
      <c r="I5" s="469"/>
      <c r="J5" s="469"/>
      <c r="K5" s="470"/>
      <c r="L5" s="470"/>
      <c r="M5" s="469"/>
      <c r="N5" s="469"/>
      <c r="O5" s="469"/>
      <c r="P5" s="470"/>
      <c r="Q5" s="470"/>
      <c r="R5" s="469"/>
      <c r="S5" s="469"/>
      <c r="T5" s="469"/>
      <c r="U5" s="470"/>
    </row>
    <row r="6" spans="1:21">
      <c r="A6" s="362" t="s">
        <v>132</v>
      </c>
      <c r="B6" s="177">
        <v>1328.3486741081199</v>
      </c>
      <c r="C6" s="177">
        <v>1591.7235114263001</v>
      </c>
      <c r="D6" s="177">
        <v>1697.7674859357301</v>
      </c>
      <c r="E6" s="177">
        <v>2173.4518532575598</v>
      </c>
      <c r="F6" s="378">
        <f>+B6+C6+D6+E6</f>
        <v>6791.2915247277106</v>
      </c>
      <c r="G6" s="378">
        <v>1455.13987445866</v>
      </c>
      <c r="H6" s="177">
        <v>1780.2232168268499</v>
      </c>
      <c r="I6" s="177">
        <v>1939.70298834291</v>
      </c>
      <c r="J6" s="177">
        <v>2555.2708587197999</v>
      </c>
      <c r="K6" s="378">
        <f>+G6+H6+I6+J6</f>
        <v>7730.3369383482186</v>
      </c>
      <c r="L6" s="378">
        <v>1836.37453108348</v>
      </c>
      <c r="M6" s="177">
        <v>2120.2487561982202</v>
      </c>
      <c r="N6" s="177">
        <v>2113.9068196579601</v>
      </c>
      <c r="O6" s="177">
        <v>2655.2988590565301</v>
      </c>
      <c r="P6" s="378">
        <f>+L6+M6+N6+O6</f>
        <v>8725.8289659961902</v>
      </c>
      <c r="Q6" s="378">
        <v>1921.0748894344299</v>
      </c>
      <c r="R6" s="177">
        <v>2192.3546087108302</v>
      </c>
      <c r="S6" s="177">
        <v>2321.3000000000002</v>
      </c>
      <c r="T6" s="177">
        <v>2954.6</v>
      </c>
      <c r="U6" s="378">
        <f>+Q6+R6+S6+T6</f>
        <v>9389.32949814526</v>
      </c>
    </row>
    <row r="7" spans="1:21" s="19" customFormat="1">
      <c r="A7" s="363" t="s">
        <v>49</v>
      </c>
      <c r="B7" s="164">
        <v>532.49342759228989</v>
      </c>
      <c r="C7" s="164">
        <v>535.08222468568988</v>
      </c>
      <c r="D7" s="164">
        <v>577.30863590551985</v>
      </c>
      <c r="E7" s="164">
        <v>613.74182730250004</v>
      </c>
      <c r="F7" s="187">
        <f>+B7+C7+D7+E7</f>
        <v>2258.6261154859994</v>
      </c>
      <c r="G7" s="187">
        <v>597.36323608061002</v>
      </c>
      <c r="H7" s="164">
        <v>610.28310806372042</v>
      </c>
      <c r="I7" s="164">
        <v>772.85567548192012</v>
      </c>
      <c r="J7" s="164">
        <v>1144.9714276544601</v>
      </c>
      <c r="K7" s="187">
        <f>+G7+H7+I7+J7</f>
        <v>3125.4734472807104</v>
      </c>
      <c r="L7" s="187">
        <v>1010.3593672466302</v>
      </c>
      <c r="M7" s="164">
        <v>1087.2879807804197</v>
      </c>
      <c r="N7" s="164">
        <v>1079.5801727533894</v>
      </c>
      <c r="O7" s="164">
        <v>1168.5321486614298</v>
      </c>
      <c r="P7" s="187">
        <f>+L7+M7+N7+O7</f>
        <v>4345.7596694418689</v>
      </c>
      <c r="Q7" s="187">
        <v>1060.12887151977</v>
      </c>
      <c r="R7" s="164">
        <v>1149.8601930444697</v>
      </c>
      <c r="S7" s="164">
        <v>1228.7</v>
      </c>
      <c r="T7" s="164">
        <v>1381.6</v>
      </c>
      <c r="U7" s="187">
        <f>+Q7+R7+S7+T7</f>
        <v>4820.2890645642401</v>
      </c>
    </row>
    <row r="8" spans="1:21">
      <c r="A8" s="362" t="s">
        <v>152</v>
      </c>
      <c r="B8" s="177">
        <f t="shared" ref="B8:S8" si="0">+B6+B7</f>
        <v>1860.8421017004098</v>
      </c>
      <c r="C8" s="177">
        <f t="shared" si="0"/>
        <v>2126.80573611199</v>
      </c>
      <c r="D8" s="177">
        <f t="shared" si="0"/>
        <v>2275.0761218412499</v>
      </c>
      <c r="E8" s="177">
        <f t="shared" si="0"/>
        <v>2787.1936805600599</v>
      </c>
      <c r="F8" s="378">
        <f t="shared" si="0"/>
        <v>9049.9176402137091</v>
      </c>
      <c r="G8" s="378">
        <f t="shared" si="0"/>
        <v>2052.50311053927</v>
      </c>
      <c r="H8" s="177">
        <f t="shared" si="0"/>
        <v>2390.5063248905703</v>
      </c>
      <c r="I8" s="177">
        <f t="shared" si="0"/>
        <v>2712.5586638248301</v>
      </c>
      <c r="J8" s="177">
        <f t="shared" si="0"/>
        <v>3700.2422863742599</v>
      </c>
      <c r="K8" s="378">
        <f t="shared" ref="K8" si="1">+K6+K7</f>
        <v>10855.810385628929</v>
      </c>
      <c r="L8" s="378">
        <f t="shared" si="0"/>
        <v>2846.7338983301102</v>
      </c>
      <c r="M8" s="177">
        <f t="shared" si="0"/>
        <v>3207.53673697864</v>
      </c>
      <c r="N8" s="177">
        <f t="shared" si="0"/>
        <v>3193.4869924113495</v>
      </c>
      <c r="O8" s="177">
        <f t="shared" si="0"/>
        <v>3823.8310077179599</v>
      </c>
      <c r="P8" s="378">
        <f t="shared" si="0"/>
        <v>13071.58863543806</v>
      </c>
      <c r="Q8" s="378">
        <f t="shared" si="0"/>
        <v>2981.2037609541999</v>
      </c>
      <c r="R8" s="177">
        <f t="shared" si="0"/>
        <v>3342.2148017553</v>
      </c>
      <c r="S8" s="177">
        <f t="shared" si="0"/>
        <v>3550</v>
      </c>
      <c r="T8" s="177">
        <f t="shared" ref="T8:U8" si="2">+T6+T7</f>
        <v>4336.2</v>
      </c>
      <c r="U8" s="378">
        <f t="shared" si="2"/>
        <v>14209.6185627095</v>
      </c>
    </row>
    <row r="9" spans="1:21" ht="3.75" customHeight="1">
      <c r="A9" s="175"/>
      <c r="B9" s="174"/>
      <c r="C9" s="174"/>
      <c r="D9" s="174"/>
      <c r="E9" s="174"/>
      <c r="F9" s="186"/>
      <c r="G9" s="186"/>
      <c r="H9" s="174"/>
      <c r="I9" s="174"/>
      <c r="J9" s="174"/>
      <c r="K9" s="186"/>
      <c r="L9" s="186"/>
      <c r="M9" s="174"/>
      <c r="N9" s="174"/>
      <c r="O9" s="174"/>
      <c r="P9" s="186"/>
      <c r="Q9" s="186"/>
      <c r="R9" s="174"/>
      <c r="S9" s="174"/>
      <c r="T9" s="174"/>
      <c r="U9" s="186"/>
    </row>
    <row r="10" spans="1:21">
      <c r="A10" s="175" t="s">
        <v>167</v>
      </c>
      <c r="B10" s="174">
        <v>1161.4604834777801</v>
      </c>
      <c r="C10" s="174">
        <v>1314.4724831185401</v>
      </c>
      <c r="D10" s="174">
        <v>1428.98634186707</v>
      </c>
      <c r="E10" s="174">
        <v>1706.3420978935799</v>
      </c>
      <c r="F10" s="186">
        <f>+B10+C10+D10+E10</f>
        <v>5611.2614063569708</v>
      </c>
      <c r="G10" s="186">
        <v>1290.77701495054</v>
      </c>
      <c r="H10" s="174">
        <v>1487.9747196857099</v>
      </c>
      <c r="I10" s="174">
        <v>1773.65975309075</v>
      </c>
      <c r="J10" s="174">
        <v>2530.52068472682</v>
      </c>
      <c r="K10" s="186">
        <f>+G10+H10+I10+J10</f>
        <v>7082.9321724538204</v>
      </c>
      <c r="L10" s="186">
        <v>2013.6125025532301</v>
      </c>
      <c r="M10" s="174">
        <v>2254.2330526652499</v>
      </c>
      <c r="N10" s="174">
        <v>2252.7826852733101</v>
      </c>
      <c r="O10" s="174">
        <v>2603.09856247989</v>
      </c>
      <c r="P10" s="186">
        <f>+L10+M10+N10+O10</f>
        <v>9123.7268029716815</v>
      </c>
      <c r="Q10" s="186">
        <v>2087.0549999999998</v>
      </c>
      <c r="R10" s="174">
        <v>2318.6</v>
      </c>
      <c r="S10" s="174">
        <v>2513.35</v>
      </c>
      <c r="T10" s="174">
        <v>2974.2489999999998</v>
      </c>
      <c r="U10" s="186">
        <f>+Q10+R10+S10+T10-0.1</f>
        <v>9893.1539999999986</v>
      </c>
    </row>
    <row r="11" spans="1:21">
      <c r="A11" s="175" t="s">
        <v>168</v>
      </c>
      <c r="B11" s="174">
        <v>528.39469063529702</v>
      </c>
      <c r="C11" s="174">
        <v>566.20297187637402</v>
      </c>
      <c r="D11" s="174">
        <v>601.025154940726</v>
      </c>
      <c r="E11" s="174">
        <v>743.33753746635307</v>
      </c>
      <c r="F11" s="186">
        <f>+B11+C11+D11+E11</f>
        <v>2438.96035491875</v>
      </c>
      <c r="G11" s="186">
        <v>531.77451466510206</v>
      </c>
      <c r="H11" s="174">
        <v>610.15773761190292</v>
      </c>
      <c r="I11" s="174">
        <v>626.90470500467893</v>
      </c>
      <c r="J11" s="174">
        <v>864.77347308357594</v>
      </c>
      <c r="K11" s="186">
        <f>+G11+H11+I11+J11</f>
        <v>2633.6104303652596</v>
      </c>
      <c r="L11" s="186">
        <v>643.36676211990402</v>
      </c>
      <c r="M11" s="174">
        <v>680.44212274144991</v>
      </c>
      <c r="N11" s="174">
        <v>686.52995740157496</v>
      </c>
      <c r="O11" s="174">
        <v>770.96128379213599</v>
      </c>
      <c r="P11" s="186">
        <f>+L11+M11+N11+O11</f>
        <v>2781.3001260550645</v>
      </c>
      <c r="Q11" s="186">
        <v>606.20000000000005</v>
      </c>
      <c r="R11" s="174">
        <v>712.35</v>
      </c>
      <c r="S11" s="174">
        <v>704.9</v>
      </c>
      <c r="T11" s="174">
        <v>835.2</v>
      </c>
      <c r="U11" s="186">
        <f>+Q11+R11+S11+T11</f>
        <v>2858.6500000000005</v>
      </c>
    </row>
    <row r="12" spans="1:21" s="19" customFormat="1">
      <c r="A12" s="363" t="s">
        <v>169</v>
      </c>
      <c r="B12" s="164">
        <v>65.202766461531496</v>
      </c>
      <c r="C12" s="164">
        <v>63.295314906092401</v>
      </c>
      <c r="D12" s="164">
        <v>67.159281426814204</v>
      </c>
      <c r="E12" s="164">
        <v>69.444182211291292</v>
      </c>
      <c r="F12" s="187">
        <f>+B12+C12+D12+E12</f>
        <v>265.10154500572941</v>
      </c>
      <c r="G12" s="187">
        <v>69.845710618401796</v>
      </c>
      <c r="H12" s="164">
        <v>70.605130248105297</v>
      </c>
      <c r="I12" s="164">
        <v>75.047208443487705</v>
      </c>
      <c r="J12" s="164">
        <v>98.5983048086091</v>
      </c>
      <c r="K12" s="187">
        <f>+G12+H12+I12+J12</f>
        <v>314.09635411860393</v>
      </c>
      <c r="L12" s="187">
        <v>86.993847200234697</v>
      </c>
      <c r="M12" s="164">
        <v>90.267776900454592</v>
      </c>
      <c r="N12" s="164">
        <v>92.725636387581304</v>
      </c>
      <c r="O12" s="164">
        <v>96.939862713217607</v>
      </c>
      <c r="P12" s="187">
        <f>+L12+M12+N12+O12</f>
        <v>366.9271232014882</v>
      </c>
      <c r="Q12" s="187">
        <v>94</v>
      </c>
      <c r="R12" s="164">
        <v>100.399</v>
      </c>
      <c r="S12" s="164">
        <v>102.65</v>
      </c>
      <c r="T12" s="164">
        <v>109.1</v>
      </c>
      <c r="U12" s="187">
        <f>+Q12+R12+S12+T12</f>
        <v>406.149</v>
      </c>
    </row>
    <row r="13" spans="1:21">
      <c r="A13" s="362" t="s">
        <v>6</v>
      </c>
      <c r="B13" s="181">
        <f t="shared" ref="B13:P13" si="3">+B10+B11+B12</f>
        <v>1755.0579405746089</v>
      </c>
      <c r="C13" s="181">
        <f t="shared" si="3"/>
        <v>1943.9707699010066</v>
      </c>
      <c r="D13" s="181">
        <f t="shared" si="3"/>
        <v>2097.1707782346102</v>
      </c>
      <c r="E13" s="181">
        <f t="shared" si="3"/>
        <v>2519.1238175712242</v>
      </c>
      <c r="F13" s="379">
        <f t="shared" si="3"/>
        <v>8315.3233062814506</v>
      </c>
      <c r="G13" s="379">
        <f t="shared" si="3"/>
        <v>1892.3972402340439</v>
      </c>
      <c r="H13" s="181">
        <f t="shared" si="3"/>
        <v>2168.7375875457183</v>
      </c>
      <c r="I13" s="181">
        <f t="shared" si="3"/>
        <v>2475.6116665389168</v>
      </c>
      <c r="J13" s="181">
        <f t="shared" si="3"/>
        <v>3493.8924626190051</v>
      </c>
      <c r="K13" s="379">
        <f t="shared" ref="K13" si="4">+K10+K11+K12</f>
        <v>10030.638956937684</v>
      </c>
      <c r="L13" s="379">
        <f t="shared" si="3"/>
        <v>2743.9731118733685</v>
      </c>
      <c r="M13" s="181">
        <f t="shared" si="3"/>
        <v>3024.9429523071544</v>
      </c>
      <c r="N13" s="181">
        <f t="shared" si="3"/>
        <v>3032.0382790624662</v>
      </c>
      <c r="O13" s="181">
        <f t="shared" si="3"/>
        <v>3470.9997089852436</v>
      </c>
      <c r="P13" s="379">
        <f t="shared" si="3"/>
        <v>12271.954052228235</v>
      </c>
      <c r="Q13" s="379">
        <f>+Q10+Q11+Q12</f>
        <v>2787.2550000000001</v>
      </c>
      <c r="R13" s="181">
        <f>+R10+R11+R12</f>
        <v>3131.3489999999997</v>
      </c>
      <c r="S13" s="181">
        <f>+S10+S11+S12</f>
        <v>3320.9</v>
      </c>
      <c r="T13" s="181">
        <f>+T10+T11+T12</f>
        <v>3918.5489999999995</v>
      </c>
      <c r="U13" s="379">
        <f>+U10+U11+U12</f>
        <v>13157.953</v>
      </c>
    </row>
    <row r="14" spans="1:21" ht="4.3499999999999996" customHeight="1">
      <c r="A14" s="175"/>
      <c r="B14" s="174"/>
      <c r="C14" s="174"/>
      <c r="D14" s="174"/>
      <c r="E14" s="174"/>
      <c r="F14" s="186"/>
      <c r="G14" s="186"/>
      <c r="H14" s="174"/>
      <c r="I14" s="174"/>
      <c r="J14" s="174"/>
      <c r="K14" s="186"/>
      <c r="L14" s="186"/>
      <c r="M14" s="174"/>
      <c r="N14" s="174"/>
      <c r="O14" s="174"/>
      <c r="P14" s="186"/>
      <c r="Q14" s="186"/>
      <c r="R14" s="174"/>
      <c r="S14" s="174"/>
      <c r="T14" s="174"/>
      <c r="U14" s="186"/>
    </row>
    <row r="15" spans="1:21">
      <c r="A15" s="175" t="s">
        <v>7</v>
      </c>
      <c r="B15" s="174">
        <v>6.6971904599999998</v>
      </c>
      <c r="C15" s="174">
        <v>23.170188339999999</v>
      </c>
      <c r="D15" s="174">
        <v>7.2344124499999998</v>
      </c>
      <c r="E15" s="174">
        <v>20.557442420000001</v>
      </c>
      <c r="F15" s="186">
        <f>+B15+C15+D15+E15</f>
        <v>57.659233669999999</v>
      </c>
      <c r="G15" s="186">
        <v>0</v>
      </c>
      <c r="H15" s="174">
        <v>6.9857551900000008</v>
      </c>
      <c r="I15" s="174">
        <v>3.1539097999999997</v>
      </c>
      <c r="J15" s="174">
        <v>0.63127465999999999</v>
      </c>
      <c r="K15" s="186">
        <f>+G15+H15+I15+J15</f>
        <v>10.770939650000001</v>
      </c>
      <c r="L15" s="186">
        <v>4.8190280699999999</v>
      </c>
      <c r="M15" s="174">
        <v>0</v>
      </c>
      <c r="N15" s="174">
        <v>11.042806240000001</v>
      </c>
      <c r="O15" s="174">
        <v>0</v>
      </c>
      <c r="P15" s="186">
        <f>+L15+M15+N15+O15</f>
        <v>15.861834310000001</v>
      </c>
      <c r="Q15" s="186">
        <v>1.3852273400000001</v>
      </c>
      <c r="R15" s="174">
        <v>11.297729619999998</v>
      </c>
      <c r="S15" s="174">
        <v>6.2</v>
      </c>
      <c r="T15" s="174">
        <v>1</v>
      </c>
      <c r="U15" s="186">
        <f>+Q15+R15+S15+T15</f>
        <v>19.882956959999998</v>
      </c>
    </row>
    <row r="16" spans="1:21" ht="3.6" customHeight="1">
      <c r="A16" s="175"/>
      <c r="B16" s="174"/>
      <c r="C16" s="174"/>
      <c r="D16" s="174"/>
      <c r="E16" s="174"/>
      <c r="F16" s="186"/>
      <c r="G16" s="186"/>
      <c r="H16" s="174"/>
      <c r="I16" s="174"/>
      <c r="J16" s="174"/>
      <c r="K16" s="186"/>
      <c r="L16" s="186"/>
      <c r="M16" s="174"/>
      <c r="N16" s="174"/>
      <c r="O16" s="174"/>
      <c r="P16" s="186"/>
      <c r="Q16" s="186"/>
      <c r="R16" s="174"/>
      <c r="S16" s="174"/>
      <c r="T16" s="174"/>
      <c r="U16" s="186"/>
    </row>
    <row r="17" spans="1:21">
      <c r="A17" s="175" t="s">
        <v>8</v>
      </c>
      <c r="B17" s="174">
        <f t="shared" ref="B17:S17" si="5">+B8-B13+B15</f>
        <v>112.48135158580089</v>
      </c>
      <c r="C17" s="174">
        <f t="shared" si="5"/>
        <v>206.00515455098335</v>
      </c>
      <c r="D17" s="174">
        <f t="shared" si="5"/>
        <v>185.1397560566397</v>
      </c>
      <c r="E17" s="174">
        <f t="shared" si="5"/>
        <v>288.6273054088357</v>
      </c>
      <c r="F17" s="186">
        <f t="shared" ref="F17:F23" si="6">+B17+C17+D17+E17</f>
        <v>792.25356760225964</v>
      </c>
      <c r="G17" s="186">
        <f t="shared" si="5"/>
        <v>160.10587030522606</v>
      </c>
      <c r="H17" s="174">
        <f t="shared" si="5"/>
        <v>228.75449253485206</v>
      </c>
      <c r="I17" s="174">
        <f t="shared" si="5"/>
        <v>240.10090708591332</v>
      </c>
      <c r="J17" s="174">
        <f t="shared" si="5"/>
        <v>206.98109841525488</v>
      </c>
      <c r="K17" s="186">
        <f t="shared" ref="K17:K23" si="7">+G17+H17+I17+J17</f>
        <v>835.94236834124638</v>
      </c>
      <c r="L17" s="186">
        <f t="shared" si="5"/>
        <v>107.5798145267417</v>
      </c>
      <c r="M17" s="174">
        <f t="shared" si="5"/>
        <v>182.59378467148554</v>
      </c>
      <c r="N17" s="174">
        <f t="shared" si="5"/>
        <v>172.49151958888331</v>
      </c>
      <c r="O17" s="174">
        <f t="shared" si="5"/>
        <v>352.83129873271628</v>
      </c>
      <c r="P17" s="186">
        <f t="shared" ref="P17:P23" si="8">+L17+M17+N17+O17</f>
        <v>815.49641751982676</v>
      </c>
      <c r="Q17" s="186">
        <f t="shared" si="5"/>
        <v>195.33398829419977</v>
      </c>
      <c r="R17" s="174">
        <f t="shared" si="5"/>
        <v>222.16353137530024</v>
      </c>
      <c r="S17" s="174">
        <f t="shared" si="5"/>
        <v>235.2999999999999</v>
      </c>
      <c r="T17" s="174">
        <f t="shared" ref="T17" si="9">+T8-T13+T15</f>
        <v>418.65100000000029</v>
      </c>
      <c r="U17" s="186">
        <f t="shared" ref="U17:U23" si="10">+Q17+R17+S17+T17</f>
        <v>1071.4485196695002</v>
      </c>
    </row>
    <row r="18" spans="1:21" ht="3.6" customHeight="1">
      <c r="A18" s="175"/>
      <c r="B18" s="174"/>
      <c r="C18" s="174"/>
      <c r="D18" s="174"/>
      <c r="E18" s="174"/>
      <c r="F18" s="186">
        <f t="shared" si="6"/>
        <v>0</v>
      </c>
      <c r="G18" s="186"/>
      <c r="H18" s="174"/>
      <c r="I18" s="174"/>
      <c r="J18" s="174"/>
      <c r="K18" s="186">
        <f t="shared" si="7"/>
        <v>0</v>
      </c>
      <c r="L18" s="186"/>
      <c r="M18" s="174"/>
      <c r="N18" s="174"/>
      <c r="O18" s="174"/>
      <c r="P18" s="186">
        <f t="shared" si="8"/>
        <v>0</v>
      </c>
      <c r="Q18" s="186"/>
      <c r="R18" s="174"/>
      <c r="S18" s="174"/>
      <c r="T18" s="174"/>
      <c r="U18" s="186">
        <f t="shared" si="10"/>
        <v>0</v>
      </c>
    </row>
    <row r="19" spans="1:21">
      <c r="A19" s="175" t="s">
        <v>170</v>
      </c>
      <c r="B19" s="174">
        <v>14.999986054773601</v>
      </c>
      <c r="C19" s="174">
        <v>9.2638227898907495</v>
      </c>
      <c r="D19" s="174">
        <v>43.300289809219706</v>
      </c>
      <c r="E19" s="174">
        <v>34.149629718176605</v>
      </c>
      <c r="F19" s="186">
        <f t="shared" si="6"/>
        <v>101.71372837206067</v>
      </c>
      <c r="G19" s="186">
        <v>15.450741056463899</v>
      </c>
      <c r="H19" s="174">
        <v>6.6935885253223093</v>
      </c>
      <c r="I19" s="174">
        <v>17.241218441804598</v>
      </c>
      <c r="J19" s="174">
        <v>123.46357053164201</v>
      </c>
      <c r="K19" s="186">
        <f t="shared" si="7"/>
        <v>162.84911855523282</v>
      </c>
      <c r="L19" s="186">
        <v>57.300698412735301</v>
      </c>
      <c r="M19" s="174">
        <v>34.929727195847306</v>
      </c>
      <c r="N19" s="174">
        <v>24.671705796242598</v>
      </c>
      <c r="O19" s="174">
        <v>80.448645752735089</v>
      </c>
      <c r="P19" s="186">
        <f t="shared" si="8"/>
        <v>197.35077715756029</v>
      </c>
      <c r="Q19" s="186">
        <v>15.018373069476999</v>
      </c>
      <c r="R19" s="174">
        <v>75.383314097521207</v>
      </c>
      <c r="S19" s="174">
        <v>67.8</v>
      </c>
      <c r="T19" s="174">
        <v>52</v>
      </c>
      <c r="U19" s="186">
        <f t="shared" si="10"/>
        <v>210.2016871669982</v>
      </c>
    </row>
    <row r="20" spans="1:21">
      <c r="A20" s="175" t="s">
        <v>10</v>
      </c>
      <c r="B20" s="174">
        <v>4.8005241338953901</v>
      </c>
      <c r="C20" s="174">
        <v>6.3647557939146004</v>
      </c>
      <c r="D20" s="174">
        <v>-0.11298865078200601</v>
      </c>
      <c r="E20" s="174">
        <v>1.1305789277691598</v>
      </c>
      <c r="F20" s="186">
        <f t="shared" si="6"/>
        <v>12.182870204797144</v>
      </c>
      <c r="G20" s="186">
        <v>1.0867700982133299</v>
      </c>
      <c r="H20" s="174">
        <v>-1.0689328981465298</v>
      </c>
      <c r="I20" s="174">
        <v>-4.9448612584102394</v>
      </c>
      <c r="J20" s="174">
        <v>1.11841727667357</v>
      </c>
      <c r="K20" s="186">
        <f t="shared" si="7"/>
        <v>-3.8086067816698694</v>
      </c>
      <c r="L20" s="186">
        <v>3.2153029576713497</v>
      </c>
      <c r="M20" s="174">
        <v>3.8820061525067899</v>
      </c>
      <c r="N20" s="174">
        <v>1.3554421880635601</v>
      </c>
      <c r="O20" s="174">
        <v>-3.7643574554201602</v>
      </c>
      <c r="P20" s="186">
        <f t="shared" si="8"/>
        <v>4.6883938428215384</v>
      </c>
      <c r="Q20" s="186">
        <v>4.1145224282832</v>
      </c>
      <c r="R20" s="174">
        <v>3.1863974219257702</v>
      </c>
      <c r="S20" s="174">
        <v>1.8</v>
      </c>
      <c r="T20" s="174">
        <v>0.3</v>
      </c>
      <c r="U20" s="186">
        <f t="shared" si="10"/>
        <v>9.4009198502089717</v>
      </c>
    </row>
    <row r="21" spans="1:21">
      <c r="A21" s="175" t="s">
        <v>11</v>
      </c>
      <c r="B21" s="174">
        <v>1.5768492262559701</v>
      </c>
      <c r="C21" s="174">
        <v>1.14612861913218</v>
      </c>
      <c r="D21" s="174">
        <v>1.59791437692774</v>
      </c>
      <c r="E21" s="174">
        <v>1.9120565081390202</v>
      </c>
      <c r="F21" s="186">
        <f t="shared" si="6"/>
        <v>6.2329487304549103</v>
      </c>
      <c r="G21" s="186">
        <v>2.29743926781111</v>
      </c>
      <c r="H21" s="174">
        <v>1.4010934844382301</v>
      </c>
      <c r="I21" s="174">
        <v>1.1579735964323401</v>
      </c>
      <c r="J21" s="174">
        <v>1.4548280659778501</v>
      </c>
      <c r="K21" s="186">
        <f t="shared" si="7"/>
        <v>6.3113344146595303</v>
      </c>
      <c r="L21" s="186">
        <v>1.4590754781850801</v>
      </c>
      <c r="M21" s="174">
        <v>3.0661831480144799</v>
      </c>
      <c r="N21" s="174">
        <v>1.0196352673770899</v>
      </c>
      <c r="O21" s="174">
        <v>2.5056449187428003</v>
      </c>
      <c r="P21" s="186">
        <f t="shared" si="8"/>
        <v>8.0505388123194486</v>
      </c>
      <c r="Q21" s="186">
        <v>2.4109891997297002</v>
      </c>
      <c r="R21" s="174">
        <v>1.4273683099951999</v>
      </c>
      <c r="S21" s="174">
        <v>3.1</v>
      </c>
      <c r="T21" s="174">
        <v>2.9</v>
      </c>
      <c r="U21" s="186">
        <f t="shared" si="10"/>
        <v>9.8383575097249008</v>
      </c>
    </row>
    <row r="22" spans="1:21">
      <c r="A22" s="175" t="s">
        <v>12</v>
      </c>
      <c r="B22" s="174">
        <v>28.015263369092597</v>
      </c>
      <c r="C22" s="174">
        <v>28.468798514798102</v>
      </c>
      <c r="D22" s="174">
        <v>27.842222032849502</v>
      </c>
      <c r="E22" s="174">
        <v>27.708182963001502</v>
      </c>
      <c r="F22" s="186">
        <f t="shared" si="6"/>
        <v>112.03446687974171</v>
      </c>
      <c r="G22" s="186">
        <v>26.2148484667464</v>
      </c>
      <c r="H22" s="174">
        <v>26.152030757952701</v>
      </c>
      <c r="I22" s="174">
        <v>30.699450629264298</v>
      </c>
      <c r="J22" s="174">
        <v>35.813143589120003</v>
      </c>
      <c r="K22" s="186">
        <f t="shared" si="7"/>
        <v>118.8794734430834</v>
      </c>
      <c r="L22" s="186">
        <v>34.789856795883601</v>
      </c>
      <c r="M22" s="174">
        <v>36.987799288212905</v>
      </c>
      <c r="N22" s="174">
        <v>37.272195935232496</v>
      </c>
      <c r="O22" s="174">
        <v>35.799103357609098</v>
      </c>
      <c r="P22" s="186">
        <f t="shared" si="8"/>
        <v>144.84895537693808</v>
      </c>
      <c r="Q22" s="186">
        <v>34.010498612018694</v>
      </c>
      <c r="R22" s="174">
        <v>35.429171968104306</v>
      </c>
      <c r="S22" s="174">
        <v>34.5</v>
      </c>
      <c r="T22" s="174">
        <v>32.9</v>
      </c>
      <c r="U22" s="186">
        <f t="shared" si="10"/>
        <v>136.839670580123</v>
      </c>
    </row>
    <row r="23" spans="1:21">
      <c r="A23" s="175" t="s">
        <v>192</v>
      </c>
      <c r="B23" s="174">
        <v>0</v>
      </c>
      <c r="C23" s="174">
        <v>0</v>
      </c>
      <c r="D23" s="174">
        <v>23.086700390000001</v>
      </c>
      <c r="E23" s="174">
        <v>0</v>
      </c>
      <c r="F23" s="186">
        <f t="shared" si="6"/>
        <v>23.086700390000001</v>
      </c>
      <c r="G23" s="186">
        <v>2.6854230699999997</v>
      </c>
      <c r="H23" s="174">
        <v>0</v>
      </c>
      <c r="I23" s="174">
        <v>0</v>
      </c>
      <c r="J23" s="174">
        <v>0</v>
      </c>
      <c r="K23" s="186">
        <f t="shared" si="7"/>
        <v>2.6854230699999997</v>
      </c>
      <c r="L23" s="186">
        <v>0</v>
      </c>
      <c r="M23" s="174">
        <v>0</v>
      </c>
      <c r="N23" s="174">
        <v>0</v>
      </c>
      <c r="O23" s="174">
        <v>0</v>
      </c>
      <c r="P23" s="186">
        <f t="shared" si="8"/>
        <v>0</v>
      </c>
      <c r="Q23" s="186">
        <v>0</v>
      </c>
      <c r="R23" s="174">
        <v>0</v>
      </c>
      <c r="S23" s="174">
        <v>0</v>
      </c>
      <c r="T23" s="174">
        <v>0</v>
      </c>
      <c r="U23" s="186">
        <f t="shared" si="10"/>
        <v>0</v>
      </c>
    </row>
    <row r="24" spans="1:21" s="19" customFormat="1">
      <c r="A24" s="363" t="s">
        <v>171</v>
      </c>
      <c r="B24" s="164">
        <f>+B17+B19+B20+B21-B22-B23</f>
        <v>105.84344763163327</v>
      </c>
      <c r="C24" s="164">
        <f t="shared" ref="C24:S24" si="11">+C17+C19+C20+C21-C22-C23</f>
        <v>194.3110632391228</v>
      </c>
      <c r="D24" s="164">
        <f t="shared" si="11"/>
        <v>178.99604916915567</v>
      </c>
      <c r="E24" s="164">
        <f t="shared" si="11"/>
        <v>298.11138759991894</v>
      </c>
      <c r="F24" s="187">
        <f t="shared" si="11"/>
        <v>777.26194763983074</v>
      </c>
      <c r="G24" s="187">
        <f t="shared" si="11"/>
        <v>150.04054919096799</v>
      </c>
      <c r="H24" s="164">
        <f t="shared" si="11"/>
        <v>209.62821088851337</v>
      </c>
      <c r="I24" s="164">
        <f t="shared" si="11"/>
        <v>222.85578723647572</v>
      </c>
      <c r="J24" s="164">
        <f t="shared" si="11"/>
        <v>297.2047707004283</v>
      </c>
      <c r="K24" s="187">
        <f t="shared" ref="K24" si="12">+K17+K19+K20+K21-K22-K23</f>
        <v>879.72931801638561</v>
      </c>
      <c r="L24" s="187">
        <f t="shared" si="11"/>
        <v>134.76503457944983</v>
      </c>
      <c r="M24" s="164">
        <f t="shared" si="11"/>
        <v>187.48390187964122</v>
      </c>
      <c r="N24" s="164">
        <f t="shared" si="11"/>
        <v>162.26610690533406</v>
      </c>
      <c r="O24" s="164">
        <f t="shared" si="11"/>
        <v>396.2221285911649</v>
      </c>
      <c r="P24" s="187">
        <f t="shared" si="11"/>
        <v>880.73717195558982</v>
      </c>
      <c r="Q24" s="187">
        <f t="shared" si="11"/>
        <v>182.86737437967099</v>
      </c>
      <c r="R24" s="164">
        <f t="shared" si="11"/>
        <v>266.73143923663815</v>
      </c>
      <c r="S24" s="164">
        <f t="shared" si="11"/>
        <v>273.49999999999994</v>
      </c>
      <c r="T24" s="164">
        <f t="shared" ref="T24:U24" si="13">+T17+T19+T20+T21-T22-T23</f>
        <v>440.95100000000031</v>
      </c>
      <c r="U24" s="187">
        <f t="shared" si="13"/>
        <v>1164.0498136163092</v>
      </c>
    </row>
    <row r="25" spans="1:21">
      <c r="A25" s="175" t="s">
        <v>172</v>
      </c>
      <c r="B25" s="174">
        <v>37.901732012088097</v>
      </c>
      <c r="C25" s="174">
        <v>64.111906896356103</v>
      </c>
      <c r="D25" s="174">
        <v>69.303715435982795</v>
      </c>
      <c r="E25" s="174">
        <v>92.442222759878206</v>
      </c>
      <c r="F25" s="186">
        <f>+B25+C25+D25+E25</f>
        <v>263.75957710430521</v>
      </c>
      <c r="G25" s="186">
        <v>56.902592932391194</v>
      </c>
      <c r="H25" s="174">
        <v>76.474833443600303</v>
      </c>
      <c r="I25" s="174">
        <v>72.865337187835607</v>
      </c>
      <c r="J25" s="174">
        <v>114.609783548585</v>
      </c>
      <c r="K25" s="186">
        <f>+G25+H25+I25+J25</f>
        <v>320.85254711241214</v>
      </c>
      <c r="L25" s="186">
        <v>50.125645406670699</v>
      </c>
      <c r="M25" s="174">
        <v>64.037721589867999</v>
      </c>
      <c r="N25" s="174">
        <v>51.413967615637695</v>
      </c>
      <c r="O25" s="174">
        <v>131.08400677319699</v>
      </c>
      <c r="P25" s="186">
        <f>+L25+M25+N25+O25</f>
        <v>296.66134138537336</v>
      </c>
      <c r="Q25" s="186">
        <v>51.272918598344994</v>
      </c>
      <c r="R25" s="174">
        <v>68.362147821845298</v>
      </c>
      <c r="S25" s="174">
        <v>76.2</v>
      </c>
      <c r="T25" s="174">
        <v>270.3</v>
      </c>
      <c r="U25" s="186">
        <f>+Q25+R25+S25+T25</f>
        <v>466.1350664201903</v>
      </c>
    </row>
    <row r="26" spans="1:21" s="19" customFormat="1">
      <c r="A26" s="363" t="s">
        <v>216</v>
      </c>
      <c r="B26" s="390">
        <f t="shared" ref="B26:S26" si="14">B25/(B24-B28)</f>
        <v>0.35903768629471344</v>
      </c>
      <c r="C26" s="390">
        <f t="shared" si="14"/>
        <v>0.37807231367749372</v>
      </c>
      <c r="D26" s="390">
        <f t="shared" si="14"/>
        <v>0.39287147912834386</v>
      </c>
      <c r="E26" s="390">
        <f t="shared" si="14"/>
        <v>0.31154855454957281</v>
      </c>
      <c r="F26" s="391">
        <f t="shared" si="14"/>
        <v>0.35249624911829441</v>
      </c>
      <c r="G26" s="391">
        <f t="shared" si="14"/>
        <v>0.37975579339631832</v>
      </c>
      <c r="H26" s="390">
        <f t="shared" si="14"/>
        <v>0.37952134573900026</v>
      </c>
      <c r="I26" s="390">
        <f t="shared" si="14"/>
        <v>0.32824006367373837</v>
      </c>
      <c r="J26" s="390">
        <f t="shared" si="14"/>
        <v>0.38896470496870406</v>
      </c>
      <c r="K26" s="391">
        <f t="shared" ref="K26" si="15">K25/(K24-K28)</f>
        <v>0.36965230252288955</v>
      </c>
      <c r="L26" s="391">
        <f t="shared" si="14"/>
        <v>0.3789001465109238</v>
      </c>
      <c r="M26" s="390">
        <f t="shared" si="14"/>
        <v>0.34483307011158965</v>
      </c>
      <c r="N26" s="390">
        <f t="shared" si="14"/>
        <v>0.3304737645602826</v>
      </c>
      <c r="O26" s="390">
        <f t="shared" si="14"/>
        <v>0.33179852195281501</v>
      </c>
      <c r="P26" s="391">
        <f t="shared" si="14"/>
        <v>0.34152133663831719</v>
      </c>
      <c r="Q26" s="391">
        <f t="shared" si="14"/>
        <v>0.28333621518094193</v>
      </c>
      <c r="R26" s="390">
        <f t="shared" si="14"/>
        <v>0.25748413969571182</v>
      </c>
      <c r="S26" s="390">
        <f t="shared" si="14"/>
        <v>0.27963302752293584</v>
      </c>
      <c r="T26" s="390">
        <f t="shared" ref="T26:U26" si="16">T25/(T24-T28)</f>
        <v>0.61620741774212262</v>
      </c>
      <c r="U26" s="391">
        <f t="shared" si="16"/>
        <v>0.40266923174679636</v>
      </c>
    </row>
    <row r="27" spans="1:21">
      <c r="A27" s="175" t="s">
        <v>173</v>
      </c>
      <c r="B27" s="174">
        <f t="shared" ref="B27:S27" si="17">+B24-B25</f>
        <v>67.941715619545164</v>
      </c>
      <c r="C27" s="174">
        <f t="shared" si="17"/>
        <v>130.19915634276668</v>
      </c>
      <c r="D27" s="174">
        <f t="shared" si="17"/>
        <v>109.69233373317287</v>
      </c>
      <c r="E27" s="84">
        <f t="shared" si="17"/>
        <v>205.66916484004074</v>
      </c>
      <c r="F27" s="189">
        <f t="shared" si="17"/>
        <v>513.50237053552553</v>
      </c>
      <c r="G27" s="189">
        <f t="shared" si="17"/>
        <v>93.137956258576793</v>
      </c>
      <c r="H27" s="84">
        <f t="shared" si="17"/>
        <v>133.15337744491308</v>
      </c>
      <c r="I27" s="84">
        <f t="shared" si="17"/>
        <v>149.99045004864013</v>
      </c>
      <c r="J27" s="84">
        <f t="shared" si="17"/>
        <v>182.5949871518433</v>
      </c>
      <c r="K27" s="189">
        <f t="shared" ref="K27" si="18">+K24-K25</f>
        <v>558.87677090397347</v>
      </c>
      <c r="L27" s="189">
        <f t="shared" si="17"/>
        <v>84.639389172779133</v>
      </c>
      <c r="M27" s="84">
        <f t="shared" si="17"/>
        <v>123.44618028977322</v>
      </c>
      <c r="N27" s="84">
        <f t="shared" si="17"/>
        <v>110.85213928969637</v>
      </c>
      <c r="O27" s="84">
        <f t="shared" si="17"/>
        <v>265.13812181796789</v>
      </c>
      <c r="P27" s="189">
        <f t="shared" si="17"/>
        <v>584.07583057021645</v>
      </c>
      <c r="Q27" s="189">
        <f t="shared" si="17"/>
        <v>131.59445578132599</v>
      </c>
      <c r="R27" s="84">
        <f t="shared" si="17"/>
        <v>198.36929141479285</v>
      </c>
      <c r="S27" s="84">
        <f t="shared" si="17"/>
        <v>197.29999999999995</v>
      </c>
      <c r="T27" s="84">
        <f t="shared" ref="T27:U27" si="19">+T24-T25</f>
        <v>170.65100000000029</v>
      </c>
      <c r="U27" s="189">
        <f t="shared" si="19"/>
        <v>697.91474719611892</v>
      </c>
    </row>
    <row r="28" spans="1:21">
      <c r="A28" s="175" t="s">
        <v>164</v>
      </c>
      <c r="B28" s="174">
        <v>0.27867418616063699</v>
      </c>
      <c r="C28" s="174">
        <v>24.735284804721601</v>
      </c>
      <c r="D28" s="174">
        <v>2.5930290523847299</v>
      </c>
      <c r="E28" s="84">
        <v>1.39287804519388</v>
      </c>
      <c r="F28" s="189">
        <f>+B28+C28+D28+E28</f>
        <v>28.999866088460845</v>
      </c>
      <c r="G28" s="189">
        <v>0.20058908532484901</v>
      </c>
      <c r="H28" s="84">
        <v>8.1248322190230997</v>
      </c>
      <c r="I28" s="84">
        <v>0.86784227841677197</v>
      </c>
      <c r="J28" s="84">
        <v>2.5513430640918102</v>
      </c>
      <c r="K28" s="189">
        <f>+G28+H28+I28+J28</f>
        <v>11.74460664685653</v>
      </c>
      <c r="L28" s="189">
        <v>2.4725404533606898</v>
      </c>
      <c r="M28" s="84">
        <v>1.7774626186240399</v>
      </c>
      <c r="N28" s="84">
        <v>6.6895585398460806</v>
      </c>
      <c r="O28" s="84">
        <v>1.1510294141817801</v>
      </c>
      <c r="P28" s="189">
        <f>+L28+M28+N28+O28</f>
        <v>12.090591026012591</v>
      </c>
      <c r="Q28" s="189">
        <v>1.90597286733172</v>
      </c>
      <c r="R28" s="84">
        <v>1.2310169479723501</v>
      </c>
      <c r="S28" s="174">
        <v>1</v>
      </c>
      <c r="T28" s="174">
        <v>2.2999999999999998</v>
      </c>
      <c r="U28" s="189">
        <f>+Q28+R28+S28+T28</f>
        <v>6.4369898153040701</v>
      </c>
    </row>
    <row r="29" spans="1:21" s="21" customFormat="1" ht="15" thickBot="1">
      <c r="A29" s="392" t="s">
        <v>174</v>
      </c>
      <c r="B29" s="393">
        <f t="shared" ref="B29:Q29" si="20">+B27-B28</f>
        <v>67.663041433384521</v>
      </c>
      <c r="C29" s="393">
        <f t="shared" si="20"/>
        <v>105.46387153804508</v>
      </c>
      <c r="D29" s="393">
        <f t="shared" si="20"/>
        <v>107.09930468078814</v>
      </c>
      <c r="E29" s="394">
        <f t="shared" si="20"/>
        <v>204.27628679484687</v>
      </c>
      <c r="F29" s="395">
        <f t="shared" si="20"/>
        <v>484.50250444706467</v>
      </c>
      <c r="G29" s="395">
        <f t="shared" si="20"/>
        <v>92.937367173251943</v>
      </c>
      <c r="H29" s="394">
        <f t="shared" si="20"/>
        <v>125.02854522588997</v>
      </c>
      <c r="I29" s="394">
        <f t="shared" si="20"/>
        <v>149.12260777022337</v>
      </c>
      <c r="J29" s="394">
        <f t="shared" si="20"/>
        <v>180.04364408775149</v>
      </c>
      <c r="K29" s="395">
        <f t="shared" ref="K29" si="21">+K27-K28</f>
        <v>547.13216425711698</v>
      </c>
      <c r="L29" s="395">
        <f t="shared" si="20"/>
        <v>82.166848719418439</v>
      </c>
      <c r="M29" s="394">
        <f t="shared" si="20"/>
        <v>121.66871767114918</v>
      </c>
      <c r="N29" s="394">
        <f t="shared" si="20"/>
        <v>104.16258074985029</v>
      </c>
      <c r="O29" s="394">
        <f t="shared" si="20"/>
        <v>263.98709240378611</v>
      </c>
      <c r="P29" s="395">
        <f t="shared" si="20"/>
        <v>571.98523954420386</v>
      </c>
      <c r="Q29" s="395">
        <f t="shared" si="20"/>
        <v>129.68848291399428</v>
      </c>
      <c r="R29" s="394">
        <f>+R27-R28</f>
        <v>197.13827446682049</v>
      </c>
      <c r="S29" s="394">
        <f>+S27-S28</f>
        <v>196.29999999999995</v>
      </c>
      <c r="T29" s="394">
        <f>+T27-T28</f>
        <v>168.35100000000028</v>
      </c>
      <c r="U29" s="395">
        <f t="shared" ref="U29" si="22">+U27-U28</f>
        <v>691.47775738081486</v>
      </c>
    </row>
    <row r="30" spans="1:21" ht="3.75" customHeight="1" thickTop="1">
      <c r="A30" s="175"/>
      <c r="B30" s="202">
        <v>5.3698219019793214E-5</v>
      </c>
      <c r="C30" s="202">
        <v>3.3578899207498125E-4</v>
      </c>
      <c r="D30" s="202">
        <v>23.086327347056098</v>
      </c>
      <c r="E30" s="203">
        <v>-7.3096334062938695E-5</v>
      </c>
      <c r="F30" s="380">
        <v>23.086643737924476</v>
      </c>
      <c r="G30" s="380">
        <v>2.6855957053215604</v>
      </c>
      <c r="H30" s="203">
        <v>4.453703296292133E-5</v>
      </c>
      <c r="I30" s="203">
        <v>-6.0198787363674455E-4</v>
      </c>
      <c r="J30" s="203">
        <v>4.473636434738637E-4</v>
      </c>
      <c r="K30" s="380">
        <v>23.086643737924476</v>
      </c>
      <c r="L30" s="380">
        <v>1.1912858194307319E-4</v>
      </c>
      <c r="M30" s="203">
        <v>1.9312968518647722E-4</v>
      </c>
      <c r="N30" s="203">
        <v>-2.2823913970171361E-4</v>
      </c>
      <c r="O30" s="203">
        <v>1.6916811711098489E-3</v>
      </c>
      <c r="P30" s="380">
        <v>23.086643737924476</v>
      </c>
      <c r="Q30" s="380">
        <v>2.454911737004295E-5</v>
      </c>
      <c r="R30" s="203">
        <v>-2.5536236191214812E-4</v>
      </c>
      <c r="S30" s="202"/>
      <c r="T30" s="202"/>
      <c r="U30" s="380">
        <v>23.086643737924476</v>
      </c>
    </row>
    <row r="31" spans="1:21" ht="15" customHeight="1">
      <c r="A31" s="175" t="s">
        <v>175</v>
      </c>
      <c r="B31" s="174">
        <v>1.5768492262559701</v>
      </c>
      <c r="C31" s="174">
        <v>1.14612861913218</v>
      </c>
      <c r="D31" s="174">
        <v>1.59791437692774</v>
      </c>
      <c r="E31" s="84">
        <v>1.9120565081390202</v>
      </c>
      <c r="F31" s="186">
        <f t="shared" ref="F31:F35" si="23">+B31+C31+D31+E31</f>
        <v>6.2329487304549103</v>
      </c>
      <c r="G31" s="189">
        <v>2.29743926781111</v>
      </c>
      <c r="H31" s="84">
        <v>1.4010934844382301</v>
      </c>
      <c r="I31" s="84">
        <v>1.1579735964323401</v>
      </c>
      <c r="J31" s="84">
        <v>1.4548280659778501</v>
      </c>
      <c r="K31" s="186">
        <f t="shared" ref="K31:K35" si="24">+G31+H31+I31+J31</f>
        <v>6.3113344146595303</v>
      </c>
      <c r="L31" s="189">
        <v>1.4590754781850801</v>
      </c>
      <c r="M31" s="84">
        <v>3.0661831480144799</v>
      </c>
      <c r="N31" s="84">
        <v>1.0196352673770899</v>
      </c>
      <c r="O31" s="84">
        <v>2.5056449187428003</v>
      </c>
      <c r="P31" s="186">
        <f t="shared" ref="P31:P35" si="25">+L31+M31+N31+O31</f>
        <v>8.0505388123194486</v>
      </c>
      <c r="Q31" s="189">
        <v>2.4109891997297002</v>
      </c>
      <c r="R31" s="84">
        <v>1.4273683099951999</v>
      </c>
      <c r="S31" s="174">
        <f>+S21</f>
        <v>3.1</v>
      </c>
      <c r="T31" s="174">
        <f>+T21</f>
        <v>2.9</v>
      </c>
      <c r="U31" s="186">
        <f t="shared" ref="U31:U35" si="26">+Q31+R31+S31+T31</f>
        <v>9.8383575097249008</v>
      </c>
    </row>
    <row r="32" spans="1:21" ht="15" customHeight="1">
      <c r="A32" s="175" t="s">
        <v>165</v>
      </c>
      <c r="B32" s="174"/>
      <c r="C32" s="174"/>
      <c r="D32" s="174"/>
      <c r="E32" s="84"/>
      <c r="F32" s="189"/>
      <c r="G32" s="189"/>
      <c r="H32" s="84"/>
      <c r="I32" s="84"/>
      <c r="J32" s="84"/>
      <c r="K32" s="189"/>
      <c r="L32" s="189"/>
      <c r="M32" s="84"/>
      <c r="N32" s="84"/>
      <c r="O32" s="84"/>
      <c r="P32" s="189"/>
      <c r="Q32" s="189"/>
      <c r="R32" s="84"/>
      <c r="S32" s="174"/>
      <c r="T32" s="174"/>
      <c r="U32" s="189"/>
    </row>
    <row r="33" spans="1:21" ht="15" customHeight="1">
      <c r="A33" s="175" t="s">
        <v>12</v>
      </c>
      <c r="B33" s="174">
        <f t="shared" ref="B33:E34" si="27">+B22</f>
        <v>28.015263369092597</v>
      </c>
      <c r="C33" s="174">
        <f t="shared" si="27"/>
        <v>28.468798514798102</v>
      </c>
      <c r="D33" s="174">
        <f t="shared" si="27"/>
        <v>27.842222032849502</v>
      </c>
      <c r="E33" s="84">
        <f t="shared" si="27"/>
        <v>27.708182963001502</v>
      </c>
      <c r="F33" s="186">
        <f>+B33+C33+D33+E33</f>
        <v>112.03446687974171</v>
      </c>
      <c r="G33" s="186">
        <f t="shared" ref="G33:J34" si="28">+G22</f>
        <v>26.2148484667464</v>
      </c>
      <c r="H33" s="174">
        <f t="shared" si="28"/>
        <v>26.152030757952701</v>
      </c>
      <c r="I33" s="174">
        <f t="shared" si="28"/>
        <v>30.699450629264298</v>
      </c>
      <c r="J33" s="84">
        <f t="shared" si="28"/>
        <v>35.813143589120003</v>
      </c>
      <c r="K33" s="186">
        <f t="shared" si="24"/>
        <v>118.8794734430834</v>
      </c>
      <c r="L33" s="186">
        <f t="shared" ref="L33:O34" si="29">+L22</f>
        <v>34.789856795883601</v>
      </c>
      <c r="M33" s="174">
        <f t="shared" si="29"/>
        <v>36.987799288212905</v>
      </c>
      <c r="N33" s="174">
        <f t="shared" si="29"/>
        <v>37.272195935232496</v>
      </c>
      <c r="O33" s="84">
        <f t="shared" si="29"/>
        <v>35.799103357609098</v>
      </c>
      <c r="P33" s="186">
        <f t="shared" si="25"/>
        <v>144.84895537693808</v>
      </c>
      <c r="Q33" s="186">
        <f t="shared" ref="Q33:S34" si="30">+Q22</f>
        <v>34.010498612018694</v>
      </c>
      <c r="R33" s="174">
        <f t="shared" si="30"/>
        <v>35.429171968104306</v>
      </c>
      <c r="S33" s="174">
        <f t="shared" si="30"/>
        <v>34.5</v>
      </c>
      <c r="T33" s="174">
        <f t="shared" ref="T33" si="31">+T22</f>
        <v>32.9</v>
      </c>
      <c r="U33" s="186">
        <f t="shared" si="26"/>
        <v>136.839670580123</v>
      </c>
    </row>
    <row r="34" spans="1:21" ht="15" customHeight="1">
      <c r="A34" s="175" t="s">
        <v>192</v>
      </c>
      <c r="B34" s="174">
        <f t="shared" si="27"/>
        <v>0</v>
      </c>
      <c r="C34" s="174">
        <f t="shared" si="27"/>
        <v>0</v>
      </c>
      <c r="D34" s="174">
        <f t="shared" si="27"/>
        <v>23.086700390000001</v>
      </c>
      <c r="E34" s="84">
        <f t="shared" si="27"/>
        <v>0</v>
      </c>
      <c r="F34" s="186">
        <f t="shared" si="23"/>
        <v>23.086700390000001</v>
      </c>
      <c r="G34" s="186">
        <f t="shared" si="28"/>
        <v>2.6854230699999997</v>
      </c>
      <c r="H34" s="174">
        <f t="shared" si="28"/>
        <v>0</v>
      </c>
      <c r="I34" s="174">
        <f t="shared" si="28"/>
        <v>0</v>
      </c>
      <c r="J34" s="84">
        <f t="shared" si="28"/>
        <v>0</v>
      </c>
      <c r="K34" s="186">
        <f t="shared" si="24"/>
        <v>2.6854230699999997</v>
      </c>
      <c r="L34" s="186">
        <f t="shared" si="29"/>
        <v>0</v>
      </c>
      <c r="M34" s="174">
        <f t="shared" si="29"/>
        <v>0</v>
      </c>
      <c r="N34" s="174">
        <f t="shared" si="29"/>
        <v>0</v>
      </c>
      <c r="O34" s="84">
        <f t="shared" si="29"/>
        <v>0</v>
      </c>
      <c r="P34" s="186">
        <f t="shared" si="25"/>
        <v>0</v>
      </c>
      <c r="Q34" s="186">
        <f t="shared" si="30"/>
        <v>0</v>
      </c>
      <c r="R34" s="174">
        <f t="shared" si="30"/>
        <v>0</v>
      </c>
      <c r="S34" s="174">
        <f t="shared" si="30"/>
        <v>0</v>
      </c>
      <c r="T34" s="174">
        <f t="shared" ref="T34" si="32">+T23</f>
        <v>0</v>
      </c>
      <c r="U34" s="186">
        <f t="shared" si="26"/>
        <v>0</v>
      </c>
    </row>
    <row r="35" spans="1:21" ht="15" customHeight="1">
      <c r="A35" s="175" t="s">
        <v>172</v>
      </c>
      <c r="B35" s="174">
        <f>+B25</f>
        <v>37.901732012088097</v>
      </c>
      <c r="C35" s="174">
        <f>+C25</f>
        <v>64.111906896356103</v>
      </c>
      <c r="D35" s="174">
        <f>+D25</f>
        <v>69.303715435982795</v>
      </c>
      <c r="E35" s="84">
        <f>+E25</f>
        <v>92.442222759878206</v>
      </c>
      <c r="F35" s="186">
        <f t="shared" si="23"/>
        <v>263.75957710430521</v>
      </c>
      <c r="G35" s="186">
        <f>+G25</f>
        <v>56.902592932391194</v>
      </c>
      <c r="H35" s="174">
        <f>+H25</f>
        <v>76.474833443600303</v>
      </c>
      <c r="I35" s="174">
        <f>+I25</f>
        <v>72.865337187835607</v>
      </c>
      <c r="J35" s="84">
        <f>+J25</f>
        <v>114.609783548585</v>
      </c>
      <c r="K35" s="186">
        <f t="shared" si="24"/>
        <v>320.85254711241214</v>
      </c>
      <c r="L35" s="186">
        <f>+L25</f>
        <v>50.125645406670699</v>
      </c>
      <c r="M35" s="174">
        <f>+M25</f>
        <v>64.037721589867999</v>
      </c>
      <c r="N35" s="174">
        <f>+N25</f>
        <v>51.413967615637695</v>
      </c>
      <c r="O35" s="84">
        <f>+O25</f>
        <v>131.08400677319699</v>
      </c>
      <c r="P35" s="186">
        <f t="shared" si="25"/>
        <v>296.66134138537336</v>
      </c>
      <c r="Q35" s="186">
        <f>+Q25</f>
        <v>51.272918598344994</v>
      </c>
      <c r="R35" s="174">
        <f>+R25</f>
        <v>68.362147821845298</v>
      </c>
      <c r="S35" s="174">
        <f>+S25</f>
        <v>76.2</v>
      </c>
      <c r="T35" s="174">
        <f>+T25</f>
        <v>270.3</v>
      </c>
      <c r="U35" s="186">
        <f t="shared" si="26"/>
        <v>466.1350664201903</v>
      </c>
    </row>
    <row r="36" spans="1:21" s="19" customFormat="1" ht="15" customHeight="1">
      <c r="A36" s="363" t="s">
        <v>169</v>
      </c>
      <c r="B36" s="164">
        <f>+B12</f>
        <v>65.202766461531496</v>
      </c>
      <c r="C36" s="164">
        <f>+C12</f>
        <v>63.295314906092401</v>
      </c>
      <c r="D36" s="164">
        <f>+D12</f>
        <v>67.159281426814204</v>
      </c>
      <c r="E36" s="80">
        <f>+E12</f>
        <v>69.444182211291292</v>
      </c>
      <c r="F36" s="190">
        <f>+B36+C36+D36+E36</f>
        <v>265.10154500572941</v>
      </c>
      <c r="G36" s="187">
        <f>+G12</f>
        <v>69.845710618401796</v>
      </c>
      <c r="H36" s="164">
        <f>+H12</f>
        <v>70.605130248105297</v>
      </c>
      <c r="I36" s="164">
        <f>+I12</f>
        <v>75.047208443487705</v>
      </c>
      <c r="J36" s="80">
        <f>+J12</f>
        <v>98.5983048086091</v>
      </c>
      <c r="K36" s="190">
        <f>+G36+H36+I36+J36</f>
        <v>314.09635411860393</v>
      </c>
      <c r="L36" s="187">
        <f>+L12</f>
        <v>86.993847200234697</v>
      </c>
      <c r="M36" s="164">
        <f>+M12</f>
        <v>90.267776900454592</v>
      </c>
      <c r="N36" s="164">
        <f>+N12</f>
        <v>92.725636387581304</v>
      </c>
      <c r="O36" s="80">
        <f>+O12</f>
        <v>96.939862713217607</v>
      </c>
      <c r="P36" s="190">
        <f>+L36+M36+N36+O36</f>
        <v>366.9271232014882</v>
      </c>
      <c r="Q36" s="187">
        <f>+Q12</f>
        <v>94</v>
      </c>
      <c r="R36" s="164">
        <f>+R12</f>
        <v>100.399</v>
      </c>
      <c r="S36" s="164">
        <f>+S12</f>
        <v>102.65</v>
      </c>
      <c r="T36" s="164">
        <f>+T12</f>
        <v>109.1</v>
      </c>
      <c r="U36" s="190">
        <f>+Q36+R36+S36+T36</f>
        <v>406.149</v>
      </c>
    </row>
    <row r="37" spans="1:21" s="9" customFormat="1" ht="15" customHeight="1">
      <c r="A37" s="362" t="s">
        <v>18</v>
      </c>
      <c r="B37" s="177">
        <f t="shared" ref="B37:Q37" si="33">+B29-B31+B33+B34+B35+B36</f>
        <v>197.20595404984073</v>
      </c>
      <c r="C37" s="177">
        <f t="shared" si="33"/>
        <v>260.1937632361595</v>
      </c>
      <c r="D37" s="177">
        <f t="shared" si="33"/>
        <v>292.89330958950688</v>
      </c>
      <c r="E37" s="177">
        <f t="shared" si="33"/>
        <v>391.95881822087881</v>
      </c>
      <c r="F37" s="378">
        <f t="shared" si="33"/>
        <v>1142.2518450963862</v>
      </c>
      <c r="G37" s="378">
        <f t="shared" si="33"/>
        <v>246.28850299298023</v>
      </c>
      <c r="H37" s="177">
        <f t="shared" si="33"/>
        <v>296.85944619111001</v>
      </c>
      <c r="I37" s="177">
        <f t="shared" si="33"/>
        <v>326.57663043437867</v>
      </c>
      <c r="J37" s="177">
        <f t="shared" si="33"/>
        <v>427.61004796808777</v>
      </c>
      <c r="K37" s="378">
        <f t="shared" ref="K37" si="34">+K29-K31+K33+K34+K35+K36</f>
        <v>1297.334627586557</v>
      </c>
      <c r="L37" s="378">
        <f t="shared" si="33"/>
        <v>252.61712264402234</v>
      </c>
      <c r="M37" s="177">
        <f t="shared" si="33"/>
        <v>309.89583230167023</v>
      </c>
      <c r="N37" s="177">
        <f t="shared" si="33"/>
        <v>284.55474542092469</v>
      </c>
      <c r="O37" s="177">
        <f t="shared" si="33"/>
        <v>525.30442032906706</v>
      </c>
      <c r="P37" s="378">
        <f t="shared" si="33"/>
        <v>1372.3721206956841</v>
      </c>
      <c r="Q37" s="378">
        <f t="shared" si="33"/>
        <v>306.56091092462827</v>
      </c>
      <c r="R37" s="177">
        <f>+R29-R31+R33+R34+R35+R36</f>
        <v>399.9012259467749</v>
      </c>
      <c r="S37" s="177">
        <f>+S29-S31+S33+S34+S35+S36</f>
        <v>406.54999999999995</v>
      </c>
      <c r="T37" s="177">
        <f>+T29-T31+T33+T34+T35+T36</f>
        <v>577.75100000000032</v>
      </c>
      <c r="U37" s="378">
        <f t="shared" ref="U37" si="35">+U29-U31+U33+U34+U35+U36</f>
        <v>1690.7631368714033</v>
      </c>
    </row>
    <row r="38" spans="1:21" ht="3.75" customHeight="1">
      <c r="A38" s="175"/>
      <c r="B38" s="193"/>
      <c r="C38" s="174"/>
      <c r="D38" s="174"/>
      <c r="E38" s="84"/>
      <c r="F38" s="376"/>
      <c r="G38" s="376"/>
      <c r="H38" s="192"/>
      <c r="I38" s="192"/>
      <c r="J38" s="192"/>
      <c r="K38" s="376"/>
      <c r="L38" s="376"/>
      <c r="M38" s="192"/>
      <c r="N38" s="192"/>
      <c r="O38" s="192"/>
      <c r="P38" s="376"/>
      <c r="Q38" s="376"/>
      <c r="R38" s="84"/>
      <c r="S38" s="193"/>
      <c r="T38" s="193"/>
      <c r="U38" s="376"/>
    </row>
    <row r="39" spans="1:21">
      <c r="A39" s="175" t="s">
        <v>176</v>
      </c>
      <c r="B39" s="194">
        <v>333.34951899999999</v>
      </c>
      <c r="C39" s="194">
        <v>333.91861999999998</v>
      </c>
      <c r="D39" s="194">
        <v>334.293046</v>
      </c>
      <c r="E39" s="195">
        <v>335.10683799999998</v>
      </c>
      <c r="F39" s="381">
        <v>334.17150900000001</v>
      </c>
      <c r="G39" s="381">
        <v>335.69859000000002</v>
      </c>
      <c r="H39" s="195">
        <v>336.15452399999998</v>
      </c>
      <c r="I39" s="195">
        <v>336.56187699999998</v>
      </c>
      <c r="J39" s="195">
        <v>337.22382399999998</v>
      </c>
      <c r="K39" s="381">
        <v>336.41485599999999</v>
      </c>
      <c r="L39" s="381">
        <v>337.50623200000001</v>
      </c>
      <c r="M39" s="195">
        <v>338.08064100000001</v>
      </c>
      <c r="N39" s="195">
        <v>338.48897499999998</v>
      </c>
      <c r="O39" s="195">
        <v>338.83946900000001</v>
      </c>
      <c r="P39" s="381">
        <v>338.42456299999998</v>
      </c>
      <c r="Q39" s="381">
        <v>339.69057900000001</v>
      </c>
      <c r="R39" s="195">
        <v>340.88260300000002</v>
      </c>
      <c r="S39" s="193">
        <v>341.2</v>
      </c>
      <c r="T39" s="193">
        <v>341.7</v>
      </c>
      <c r="U39" s="381">
        <v>340.8</v>
      </c>
    </row>
    <row r="40" spans="1:21">
      <c r="A40" s="175" t="s">
        <v>177</v>
      </c>
      <c r="B40" s="204">
        <f t="shared" ref="B40:P40" si="36">+B29/B39</f>
        <v>0.20297926823582585</v>
      </c>
      <c r="C40" s="204">
        <f t="shared" si="36"/>
        <v>0.31583704897332499</v>
      </c>
      <c r="D40" s="204">
        <f t="shared" si="36"/>
        <v>0.32037550874087922</v>
      </c>
      <c r="E40" s="205">
        <f t="shared" si="36"/>
        <v>0.60958555192134545</v>
      </c>
      <c r="F40" s="382">
        <f t="shared" si="36"/>
        <v>1.4498617967071055</v>
      </c>
      <c r="G40" s="382">
        <f t="shared" si="36"/>
        <v>0.27684765424022761</v>
      </c>
      <c r="H40" s="205">
        <f t="shared" si="36"/>
        <v>0.37193771405524795</v>
      </c>
      <c r="I40" s="205">
        <f t="shared" si="36"/>
        <v>0.44307634928665252</v>
      </c>
      <c r="J40" s="205">
        <f t="shared" si="36"/>
        <v>0.53389953874596807</v>
      </c>
      <c r="K40" s="382">
        <f t="shared" si="36"/>
        <v>1.6263614834450624</v>
      </c>
      <c r="L40" s="382">
        <f t="shared" si="36"/>
        <v>0.24345283413735139</v>
      </c>
      <c r="M40" s="205">
        <f t="shared" si="36"/>
        <v>0.35988075895522564</v>
      </c>
      <c r="N40" s="205">
        <f t="shared" si="36"/>
        <v>0.3077281342763093</v>
      </c>
      <c r="O40" s="205">
        <f t="shared" si="36"/>
        <v>0.77909191978985803</v>
      </c>
      <c r="P40" s="382">
        <f t="shared" si="36"/>
        <v>1.6901410301716306</v>
      </c>
      <c r="Q40" s="382">
        <f>+Q29/Q39</f>
        <v>0.38178416162078571</v>
      </c>
      <c r="R40" s="205">
        <f>+R29/R39</f>
        <v>0.57831720578248602</v>
      </c>
      <c r="S40" s="205">
        <f>+S29/S39</f>
        <v>0.57532239155920273</v>
      </c>
      <c r="T40" s="205">
        <f>+T29/T39</f>
        <v>0.49268656716417997</v>
      </c>
      <c r="U40" s="382">
        <f t="shared" ref="U40" si="37">+U29/U39</f>
        <v>2.0289840298732829</v>
      </c>
    </row>
    <row r="41" spans="1:21">
      <c r="A41" s="175"/>
      <c r="B41" s="74"/>
      <c r="C41" s="74"/>
      <c r="D41" s="74"/>
      <c r="E41" s="192"/>
      <c r="F41" s="376"/>
      <c r="G41" s="376"/>
      <c r="H41" s="192"/>
      <c r="I41" s="192"/>
      <c r="J41" s="192"/>
      <c r="K41" s="376"/>
      <c r="L41" s="376"/>
      <c r="M41" s="192"/>
      <c r="N41" s="192"/>
      <c r="O41" s="192"/>
      <c r="P41" s="376"/>
      <c r="Q41" s="376"/>
      <c r="R41" s="192"/>
      <c r="S41" s="74"/>
      <c r="T41" s="74"/>
      <c r="U41" s="376"/>
    </row>
    <row r="42" spans="1:21">
      <c r="A42" s="362" t="s">
        <v>97</v>
      </c>
      <c r="B42" s="77"/>
      <c r="C42" s="78"/>
      <c r="D42" s="74"/>
      <c r="E42" s="192"/>
      <c r="F42" s="376"/>
      <c r="G42" s="376"/>
      <c r="H42" s="192"/>
      <c r="I42" s="192"/>
      <c r="J42" s="192"/>
      <c r="K42" s="376"/>
      <c r="L42" s="376"/>
      <c r="M42" s="192"/>
      <c r="N42" s="192"/>
      <c r="O42" s="192"/>
      <c r="P42" s="376"/>
      <c r="Q42" s="376"/>
      <c r="R42" s="192"/>
      <c r="S42" s="74"/>
      <c r="T42" s="74"/>
      <c r="U42" s="376"/>
    </row>
    <row r="43" spans="1:21" s="435" customFormat="1">
      <c r="A43" s="468" t="s">
        <v>244</v>
      </c>
      <c r="B43" s="469"/>
      <c r="C43" s="469"/>
      <c r="D43" s="469"/>
      <c r="E43" s="469"/>
      <c r="F43" s="470"/>
      <c r="G43" s="470"/>
      <c r="H43" s="469"/>
      <c r="I43" s="469"/>
      <c r="J43" s="469"/>
      <c r="K43" s="470"/>
      <c r="L43" s="470"/>
      <c r="M43" s="469"/>
      <c r="N43" s="469"/>
      <c r="O43" s="469"/>
      <c r="P43" s="470"/>
      <c r="Q43" s="470"/>
      <c r="R43" s="469"/>
      <c r="S43" s="469"/>
      <c r="T43" s="469"/>
      <c r="U43" s="470"/>
    </row>
    <row r="44" spans="1:21">
      <c r="A44" s="362" t="s">
        <v>132</v>
      </c>
      <c r="B44" s="84">
        <f t="shared" ref="B44:H44" si="38">B81-B6</f>
        <v>0</v>
      </c>
      <c r="C44" s="84">
        <f t="shared" si="38"/>
        <v>0</v>
      </c>
      <c r="D44" s="84">
        <f t="shared" si="38"/>
        <v>0</v>
      </c>
      <c r="E44" s="84">
        <f t="shared" si="38"/>
        <v>0</v>
      </c>
      <c r="F44" s="189">
        <f>+B44+C44+D44+E44</f>
        <v>0</v>
      </c>
      <c r="G44" s="189">
        <f t="shared" si="38"/>
        <v>0</v>
      </c>
      <c r="H44" s="84">
        <f t="shared" si="38"/>
        <v>0</v>
      </c>
      <c r="I44" s="84">
        <v>0</v>
      </c>
      <c r="J44" s="84">
        <v>0</v>
      </c>
      <c r="K44" s="189">
        <f>+G44+H44+I44+J44</f>
        <v>0</v>
      </c>
      <c r="L44" s="189">
        <v>0</v>
      </c>
      <c r="M44" s="84">
        <v>0</v>
      </c>
      <c r="N44" s="84">
        <v>0</v>
      </c>
      <c r="O44" s="84">
        <v>0</v>
      </c>
      <c r="P44" s="189">
        <f>+L44+M44+N44+O44</f>
        <v>0</v>
      </c>
      <c r="Q44" s="189">
        <v>0</v>
      </c>
      <c r="R44" s="84">
        <v>0</v>
      </c>
      <c r="S44" s="174">
        <v>0</v>
      </c>
      <c r="T44" s="174">
        <v>0</v>
      </c>
      <c r="U44" s="189">
        <f>+Q44+R44+S44+T44</f>
        <v>0</v>
      </c>
    </row>
    <row r="45" spans="1:21" s="19" customFormat="1">
      <c r="A45" s="363" t="s">
        <v>49</v>
      </c>
      <c r="B45" s="80">
        <f t="shared" ref="B45:H45" si="39">B82-B7</f>
        <v>0</v>
      </c>
      <c r="C45" s="80">
        <f t="shared" si="39"/>
        <v>0</v>
      </c>
      <c r="D45" s="80">
        <f t="shared" si="39"/>
        <v>0</v>
      </c>
      <c r="E45" s="80">
        <f t="shared" si="39"/>
        <v>0</v>
      </c>
      <c r="F45" s="190">
        <f>+B45+C45+D45+E45</f>
        <v>0</v>
      </c>
      <c r="G45" s="190">
        <f t="shared" si="39"/>
        <v>0</v>
      </c>
      <c r="H45" s="80">
        <f t="shared" si="39"/>
        <v>0</v>
      </c>
      <c r="I45" s="80">
        <v>0</v>
      </c>
      <c r="J45" s="80">
        <v>0</v>
      </c>
      <c r="K45" s="190">
        <f>+G45+H45+I45+J45</f>
        <v>0</v>
      </c>
      <c r="L45" s="190">
        <v>0</v>
      </c>
      <c r="M45" s="80">
        <v>0</v>
      </c>
      <c r="N45" s="80">
        <v>0</v>
      </c>
      <c r="O45" s="80">
        <v>0</v>
      </c>
      <c r="P45" s="190">
        <f>+L45+M45+N45+O45</f>
        <v>0</v>
      </c>
      <c r="Q45" s="190">
        <v>0</v>
      </c>
      <c r="R45" s="80">
        <v>0</v>
      </c>
      <c r="S45" s="164">
        <v>0</v>
      </c>
      <c r="T45" s="164">
        <v>0</v>
      </c>
      <c r="U45" s="190">
        <f>+Q45+R45+S45+T45</f>
        <v>0</v>
      </c>
    </row>
    <row r="46" spans="1:21">
      <c r="A46" s="362" t="s">
        <v>152</v>
      </c>
      <c r="B46" s="84">
        <f t="shared" ref="B46:Q46" si="40">B83-B8</f>
        <v>0</v>
      </c>
      <c r="C46" s="84">
        <f t="shared" si="40"/>
        <v>0</v>
      </c>
      <c r="D46" s="84">
        <f t="shared" si="40"/>
        <v>0</v>
      </c>
      <c r="E46" s="84">
        <f t="shared" si="40"/>
        <v>0</v>
      </c>
      <c r="F46" s="189">
        <f>+F44+F45</f>
        <v>0</v>
      </c>
      <c r="G46" s="189">
        <f t="shared" si="40"/>
        <v>0</v>
      </c>
      <c r="H46" s="84">
        <f t="shared" si="40"/>
        <v>0</v>
      </c>
      <c r="I46" s="84">
        <v>0</v>
      </c>
      <c r="J46" s="84">
        <f t="shared" si="40"/>
        <v>0</v>
      </c>
      <c r="K46" s="189">
        <f>+K44+K45</f>
        <v>0</v>
      </c>
      <c r="L46" s="189">
        <f t="shared" si="40"/>
        <v>0</v>
      </c>
      <c r="M46" s="84">
        <f t="shared" si="40"/>
        <v>0</v>
      </c>
      <c r="N46" s="84">
        <f t="shared" si="40"/>
        <v>0</v>
      </c>
      <c r="O46" s="84">
        <f t="shared" si="40"/>
        <v>0</v>
      </c>
      <c r="P46" s="189">
        <f>+P44+P45</f>
        <v>0</v>
      </c>
      <c r="Q46" s="189">
        <f t="shared" si="40"/>
        <v>0</v>
      </c>
      <c r="R46" s="84">
        <f>R83-R8</f>
        <v>0</v>
      </c>
      <c r="S46" s="174">
        <v>0</v>
      </c>
      <c r="T46" s="174">
        <v>0</v>
      </c>
      <c r="U46" s="189">
        <f>+U44+U45</f>
        <v>0</v>
      </c>
    </row>
    <row r="47" spans="1:21" ht="3.75" customHeight="1">
      <c r="A47" s="175"/>
      <c r="B47" s="84">
        <f t="shared" ref="B47:Q47" si="41">B84-B9</f>
        <v>0</v>
      </c>
      <c r="C47" s="84">
        <f t="shared" si="41"/>
        <v>0</v>
      </c>
      <c r="D47" s="84">
        <f t="shared" si="41"/>
        <v>0</v>
      </c>
      <c r="E47" s="84">
        <f t="shared" si="41"/>
        <v>0</v>
      </c>
      <c r="F47" s="189">
        <f t="shared" si="41"/>
        <v>0</v>
      </c>
      <c r="G47" s="189">
        <f t="shared" si="41"/>
        <v>0</v>
      </c>
      <c r="H47" s="84">
        <f t="shared" si="41"/>
        <v>0</v>
      </c>
      <c r="I47" s="84">
        <f t="shared" si="41"/>
        <v>0</v>
      </c>
      <c r="J47" s="84">
        <f t="shared" si="41"/>
        <v>0</v>
      </c>
      <c r="K47" s="189">
        <f t="shared" ref="K47" si="42">K84-K9</f>
        <v>0</v>
      </c>
      <c r="L47" s="189">
        <f t="shared" si="41"/>
        <v>0</v>
      </c>
      <c r="M47" s="84">
        <f t="shared" si="41"/>
        <v>0</v>
      </c>
      <c r="N47" s="84">
        <f t="shared" si="41"/>
        <v>0</v>
      </c>
      <c r="O47" s="84">
        <f t="shared" si="41"/>
        <v>0</v>
      </c>
      <c r="P47" s="189">
        <f t="shared" si="41"/>
        <v>0</v>
      </c>
      <c r="Q47" s="189">
        <f t="shared" si="41"/>
        <v>0</v>
      </c>
      <c r="R47" s="84">
        <f>R84-R9</f>
        <v>0</v>
      </c>
      <c r="S47" s="174"/>
      <c r="T47" s="174"/>
      <c r="U47" s="189">
        <f t="shared" ref="U47" si="43">U84-U9</f>
        <v>0</v>
      </c>
    </row>
    <row r="48" spans="1:21">
      <c r="A48" s="175" t="s">
        <v>167</v>
      </c>
      <c r="B48" s="84">
        <f t="shared" ref="B48:Q48" si="44">B85-B10</f>
        <v>0</v>
      </c>
      <c r="C48" s="84">
        <f t="shared" si="44"/>
        <v>0</v>
      </c>
      <c r="D48" s="84">
        <f t="shared" si="44"/>
        <v>0</v>
      </c>
      <c r="E48" s="84">
        <f t="shared" si="44"/>
        <v>0</v>
      </c>
      <c r="F48" s="189">
        <f>+B48+C48+D48+E48</f>
        <v>0</v>
      </c>
      <c r="G48" s="189">
        <f t="shared" si="44"/>
        <v>0</v>
      </c>
      <c r="H48" s="84">
        <f t="shared" si="44"/>
        <v>0</v>
      </c>
      <c r="I48" s="84">
        <f t="shared" si="44"/>
        <v>-9.7774304990025485E-2</v>
      </c>
      <c r="J48" s="84">
        <f t="shared" si="44"/>
        <v>-18.202235416440089</v>
      </c>
      <c r="K48" s="189">
        <f>+G48+H48+I48+J48</f>
        <v>-18.300009721430115</v>
      </c>
      <c r="L48" s="189">
        <f t="shared" si="44"/>
        <v>-4.6846242500600965</v>
      </c>
      <c r="M48" s="84">
        <f t="shared" si="44"/>
        <v>-18.012364555750082</v>
      </c>
      <c r="N48" s="84">
        <f t="shared" si="44"/>
        <v>-15.061997747740406</v>
      </c>
      <c r="O48" s="84">
        <f t="shared" si="44"/>
        <v>-2.1616924856202786</v>
      </c>
      <c r="P48" s="189">
        <f>+L48+M48+N48+O48</f>
        <v>-39.920679039170864</v>
      </c>
      <c r="Q48" s="189">
        <f t="shared" si="44"/>
        <v>-7.5759725719763082E-2</v>
      </c>
      <c r="R48" s="84">
        <f>R85-R10</f>
        <v>-1.0372110584503389</v>
      </c>
      <c r="S48" s="174">
        <v>0</v>
      </c>
      <c r="T48" s="174">
        <v>0</v>
      </c>
      <c r="U48" s="189">
        <f>+Q48+R48+S48+T48</f>
        <v>-1.112970784170102</v>
      </c>
    </row>
    <row r="49" spans="1:21">
      <c r="A49" s="175" t="s">
        <v>168</v>
      </c>
      <c r="B49" s="84">
        <f t="shared" ref="B49:Q49" si="45">B86-B11</f>
        <v>-1.5629999999999882</v>
      </c>
      <c r="C49" s="84">
        <f t="shared" si="45"/>
        <v>-2.5670000000000073</v>
      </c>
      <c r="D49" s="84">
        <f t="shared" si="45"/>
        <v>0.70400000000006457</v>
      </c>
      <c r="E49" s="84">
        <f t="shared" si="45"/>
        <v>-20.447000000000003</v>
      </c>
      <c r="F49" s="189">
        <f>+B49+C49+D49+E49</f>
        <v>-23.872999999999934</v>
      </c>
      <c r="G49" s="189">
        <f t="shared" si="45"/>
        <v>-0.44100000000003092</v>
      </c>
      <c r="H49" s="84">
        <f t="shared" si="45"/>
        <v>-6.9201248654709389</v>
      </c>
      <c r="I49" s="84">
        <f t="shared" si="45"/>
        <v>-17.956165896446919</v>
      </c>
      <c r="J49" s="84">
        <f t="shared" si="45"/>
        <v>-71.75830799229891</v>
      </c>
      <c r="K49" s="189">
        <f>+G49+H49+I49+J49</f>
        <v>-97.075598754216799</v>
      </c>
      <c r="L49" s="189">
        <f t="shared" si="45"/>
        <v>-25.380762536324028</v>
      </c>
      <c r="M49" s="84">
        <f t="shared" si="45"/>
        <v>-32.543291808488902</v>
      </c>
      <c r="N49" s="84">
        <f t="shared" si="45"/>
        <v>-49.767309986660962</v>
      </c>
      <c r="O49" s="84">
        <f t="shared" si="45"/>
        <v>-41.02930924979205</v>
      </c>
      <c r="P49" s="189">
        <f>+L49+M49+N49+O49</f>
        <v>-148.72067358126594</v>
      </c>
      <c r="Q49" s="189">
        <f t="shared" si="45"/>
        <v>3.4285039939688886</v>
      </c>
      <c r="R49" s="84">
        <f>R86-R11</f>
        <v>-11.610385809478998</v>
      </c>
      <c r="S49" s="174">
        <v>-5.0999999999999996</v>
      </c>
      <c r="T49" s="174">
        <v>-4.4000000000000004</v>
      </c>
      <c r="U49" s="189">
        <f>+Q49+R49+S49+T49</f>
        <v>-17.68188181551011</v>
      </c>
    </row>
    <row r="50" spans="1:21" s="19" customFormat="1">
      <c r="A50" s="363" t="s">
        <v>169</v>
      </c>
      <c r="B50" s="80">
        <f t="shared" ref="B50:Q50" si="46">B87-B12</f>
        <v>-18.680999999999997</v>
      </c>
      <c r="C50" s="80">
        <f t="shared" si="46"/>
        <v>-16.008000000000003</v>
      </c>
      <c r="D50" s="80">
        <f t="shared" si="46"/>
        <v>-16.179000000000102</v>
      </c>
      <c r="E50" s="80">
        <f t="shared" si="46"/>
        <v>-15.26399999999979</v>
      </c>
      <c r="F50" s="190">
        <f>+B50+C50+D50+E50</f>
        <v>-66.131999999999891</v>
      </c>
      <c r="G50" s="190">
        <f t="shared" si="46"/>
        <v>-15.160672029966697</v>
      </c>
      <c r="H50" s="80">
        <f t="shared" si="46"/>
        <v>-14.726486451073995</v>
      </c>
      <c r="I50" s="80">
        <f t="shared" si="46"/>
        <v>-16.875352493712604</v>
      </c>
      <c r="J50" s="80">
        <f t="shared" si="46"/>
        <v>-39.801195414895098</v>
      </c>
      <c r="K50" s="190">
        <f>+G50+H50+I50+J50</f>
        <v>-86.563706389648388</v>
      </c>
      <c r="L50" s="190">
        <f t="shared" si="46"/>
        <v>-24.870650360973393</v>
      </c>
      <c r="M50" s="80">
        <f t="shared" si="46"/>
        <v>-26.581743382964795</v>
      </c>
      <c r="N50" s="80">
        <f t="shared" si="46"/>
        <v>-30.306035532400706</v>
      </c>
      <c r="O50" s="80">
        <f t="shared" si="46"/>
        <v>-29.346906404484415</v>
      </c>
      <c r="P50" s="190">
        <f>+L50+M50+N50+O50</f>
        <v>-111.1053356808233</v>
      </c>
      <c r="Q50" s="190">
        <f t="shared" si="46"/>
        <v>-26.953768307510799</v>
      </c>
      <c r="R50" s="80">
        <f>R87-R12</f>
        <v>-27.337174869401196</v>
      </c>
      <c r="S50" s="164">
        <v>-28.2</v>
      </c>
      <c r="T50" s="164">
        <v>-30.4</v>
      </c>
      <c r="U50" s="190">
        <f>+Q50+R50+S50+T50</f>
        <v>-112.890943176912</v>
      </c>
    </row>
    <row r="51" spans="1:21">
      <c r="A51" s="175" t="s">
        <v>6</v>
      </c>
      <c r="B51" s="84">
        <f t="shared" ref="B51:S51" si="47">+B48+B49+B50</f>
        <v>-20.243999999999986</v>
      </c>
      <c r="C51" s="84">
        <f t="shared" si="47"/>
        <v>-18.57500000000001</v>
      </c>
      <c r="D51" s="84">
        <f t="shared" si="47"/>
        <v>-15.475000000000037</v>
      </c>
      <c r="E51" s="84">
        <f t="shared" si="47"/>
        <v>-35.710999999999792</v>
      </c>
      <c r="F51" s="189">
        <f t="shared" si="47"/>
        <v>-90.004999999999825</v>
      </c>
      <c r="G51" s="189">
        <f t="shared" si="47"/>
        <v>-15.601672029966728</v>
      </c>
      <c r="H51" s="84">
        <f t="shared" si="47"/>
        <v>-21.646611316544934</v>
      </c>
      <c r="I51" s="84">
        <f t="shared" si="47"/>
        <v>-34.929292695149549</v>
      </c>
      <c r="J51" s="84">
        <f t="shared" si="47"/>
        <v>-129.76173882363409</v>
      </c>
      <c r="K51" s="189">
        <f t="shared" ref="K51" si="48">+K48+K49+K50</f>
        <v>-201.9393148652953</v>
      </c>
      <c r="L51" s="189">
        <f t="shared" si="47"/>
        <v>-54.936037147357517</v>
      </c>
      <c r="M51" s="84">
        <f t="shared" si="47"/>
        <v>-77.137399747203773</v>
      </c>
      <c r="N51" s="84">
        <f t="shared" si="47"/>
        <v>-95.135343266802067</v>
      </c>
      <c r="O51" s="84">
        <f t="shared" si="47"/>
        <v>-72.537908139896743</v>
      </c>
      <c r="P51" s="189">
        <f t="shared" si="47"/>
        <v>-299.74668830126012</v>
      </c>
      <c r="Q51" s="189">
        <f t="shared" si="47"/>
        <v>-23.601024039261674</v>
      </c>
      <c r="R51" s="84">
        <f t="shared" si="47"/>
        <v>-39.984771737330533</v>
      </c>
      <c r="S51" s="84">
        <f t="shared" si="47"/>
        <v>-33.299999999999997</v>
      </c>
      <c r="T51" s="84">
        <f t="shared" ref="T51:U51" si="49">+T48+T49+T50</f>
        <v>-34.799999999999997</v>
      </c>
      <c r="U51" s="189">
        <f t="shared" si="49"/>
        <v>-131.68579577659222</v>
      </c>
    </row>
    <row r="52" spans="1:21" ht="3.45" customHeight="1">
      <c r="A52" s="175"/>
      <c r="B52" s="84" t="s">
        <v>97</v>
      </c>
      <c r="C52" s="84" t="s">
        <v>97</v>
      </c>
      <c r="D52" s="84" t="s">
        <v>97</v>
      </c>
      <c r="E52" s="84" t="s">
        <v>97</v>
      </c>
      <c r="F52" s="189" t="s">
        <v>97</v>
      </c>
      <c r="G52" s="189" t="s">
        <v>97</v>
      </c>
      <c r="H52" s="84" t="s">
        <v>97</v>
      </c>
      <c r="I52" s="84" t="s">
        <v>97</v>
      </c>
      <c r="J52" s="84" t="s">
        <v>97</v>
      </c>
      <c r="K52" s="189" t="s">
        <v>97</v>
      </c>
      <c r="L52" s="189" t="s">
        <v>97</v>
      </c>
      <c r="M52" s="84" t="s">
        <v>97</v>
      </c>
      <c r="N52" s="84" t="s">
        <v>97</v>
      </c>
      <c r="O52" s="84" t="s">
        <v>97</v>
      </c>
      <c r="P52" s="189" t="s">
        <v>97</v>
      </c>
      <c r="Q52" s="189" t="s">
        <v>97</v>
      </c>
      <c r="R52" s="84" t="s">
        <v>97</v>
      </c>
      <c r="S52" s="174" t="s">
        <v>97</v>
      </c>
      <c r="T52" s="174" t="s">
        <v>97</v>
      </c>
      <c r="U52" s="189" t="s">
        <v>97</v>
      </c>
    </row>
    <row r="53" spans="1:21">
      <c r="A53" s="175" t="s">
        <v>7</v>
      </c>
      <c r="B53" s="84">
        <f t="shared" ref="B53:R53" si="50">B90-B15</f>
        <v>0</v>
      </c>
      <c r="C53" s="84">
        <f t="shared" si="50"/>
        <v>0</v>
      </c>
      <c r="D53" s="84">
        <f t="shared" si="50"/>
        <v>0</v>
      </c>
      <c r="E53" s="84">
        <f t="shared" si="50"/>
        <v>0</v>
      </c>
      <c r="F53" s="189">
        <f t="shared" ref="F53:F61" si="51">+B53+C53+D53+E53</f>
        <v>0</v>
      </c>
      <c r="G53" s="189">
        <f t="shared" si="50"/>
        <v>0</v>
      </c>
      <c r="H53" s="84">
        <f t="shared" si="50"/>
        <v>0</v>
      </c>
      <c r="I53" s="84">
        <f t="shared" si="50"/>
        <v>0</v>
      </c>
      <c r="J53" s="84">
        <f t="shared" si="50"/>
        <v>0</v>
      </c>
      <c r="K53" s="189">
        <f t="shared" ref="K53:K61" si="52">+G53+H53+I53+J53</f>
        <v>0</v>
      </c>
      <c r="L53" s="189">
        <f t="shared" si="50"/>
        <v>0</v>
      </c>
      <c r="M53" s="84">
        <v>0</v>
      </c>
      <c r="N53" s="84">
        <f t="shared" si="50"/>
        <v>0</v>
      </c>
      <c r="O53" s="84">
        <f t="shared" si="50"/>
        <v>0</v>
      </c>
      <c r="P53" s="189">
        <f t="shared" ref="P53:P61" si="53">+L53+M53+N53+O53</f>
        <v>0</v>
      </c>
      <c r="Q53" s="189">
        <f t="shared" si="50"/>
        <v>0</v>
      </c>
      <c r="R53" s="84">
        <f t="shared" si="50"/>
        <v>0</v>
      </c>
      <c r="S53" s="174">
        <v>0</v>
      </c>
      <c r="T53" s="174">
        <v>0</v>
      </c>
      <c r="U53" s="189">
        <f t="shared" ref="U53:U61" si="54">+Q53+R53+S53+T53</f>
        <v>0</v>
      </c>
    </row>
    <row r="54" spans="1:21" ht="3.45" customHeight="1">
      <c r="A54" s="175"/>
      <c r="B54" s="84"/>
      <c r="C54" s="84"/>
      <c r="D54" s="84"/>
      <c r="E54" s="84"/>
      <c r="F54" s="189">
        <f t="shared" si="51"/>
        <v>0</v>
      </c>
      <c r="G54" s="189"/>
      <c r="H54" s="84"/>
      <c r="I54" s="84"/>
      <c r="J54" s="84"/>
      <c r="K54" s="189">
        <f t="shared" si="52"/>
        <v>0</v>
      </c>
      <c r="L54" s="189"/>
      <c r="M54" s="84"/>
      <c r="N54" s="84"/>
      <c r="O54" s="84"/>
      <c r="P54" s="189">
        <f t="shared" si="53"/>
        <v>0</v>
      </c>
      <c r="Q54" s="189"/>
      <c r="R54" s="84"/>
      <c r="S54" s="174"/>
      <c r="T54" s="174"/>
      <c r="U54" s="189">
        <f t="shared" si="54"/>
        <v>0</v>
      </c>
    </row>
    <row r="55" spans="1:21">
      <c r="A55" s="175" t="s">
        <v>8</v>
      </c>
      <c r="B55" s="84">
        <f t="shared" ref="B55:R55" si="55">B92-B17</f>
        <v>20.244000000000142</v>
      </c>
      <c r="C55" s="84">
        <f t="shared" si="55"/>
        <v>18.575000000000045</v>
      </c>
      <c r="D55" s="84">
        <f t="shared" si="55"/>
        <v>15.474999999999909</v>
      </c>
      <c r="E55" s="84">
        <f t="shared" si="55"/>
        <v>35.710999999999785</v>
      </c>
      <c r="F55" s="189">
        <f t="shared" si="51"/>
        <v>90.004999999999882</v>
      </c>
      <c r="G55" s="189">
        <f t="shared" si="55"/>
        <v>15.601672029966721</v>
      </c>
      <c r="H55" s="84">
        <f t="shared" si="55"/>
        <v>21.646611316545204</v>
      </c>
      <c r="I55" s="84">
        <f t="shared" si="55"/>
        <v>34.92929270409968</v>
      </c>
      <c r="J55" s="84">
        <f t="shared" si="55"/>
        <v>129.76173882363398</v>
      </c>
      <c r="K55" s="189">
        <f t="shared" si="52"/>
        <v>201.93931487424558</v>
      </c>
      <c r="L55" s="189">
        <f t="shared" si="55"/>
        <v>54.936037147357183</v>
      </c>
      <c r="M55" s="84">
        <f t="shared" si="55"/>
        <v>77.137399747203744</v>
      </c>
      <c r="N55" s="84">
        <f t="shared" si="55"/>
        <v>95.13534326680201</v>
      </c>
      <c r="O55" s="84">
        <f t="shared" si="55"/>
        <v>72.537908139896444</v>
      </c>
      <c r="P55" s="189">
        <f t="shared" si="53"/>
        <v>299.74668830125938</v>
      </c>
      <c r="Q55" s="189">
        <f t="shared" si="55"/>
        <v>23.601024039262029</v>
      </c>
      <c r="R55" s="84">
        <f t="shared" si="55"/>
        <v>39.984771737330448</v>
      </c>
      <c r="S55" s="174">
        <f>+S46-S51</f>
        <v>33.299999999999997</v>
      </c>
      <c r="T55" s="174">
        <f>+T46-T51</f>
        <v>34.799999999999997</v>
      </c>
      <c r="U55" s="189">
        <f t="shared" si="54"/>
        <v>131.68579577659247</v>
      </c>
    </row>
    <row r="56" spans="1:21" ht="3.75" customHeight="1">
      <c r="A56" s="175"/>
      <c r="B56" s="84">
        <f t="shared" ref="B56:R56" si="56">B93-B18</f>
        <v>0</v>
      </c>
      <c r="C56" s="84">
        <f t="shared" si="56"/>
        <v>0</v>
      </c>
      <c r="D56" s="84">
        <f t="shared" si="56"/>
        <v>0</v>
      </c>
      <c r="E56" s="84">
        <f t="shared" si="56"/>
        <v>0</v>
      </c>
      <c r="F56" s="189">
        <f t="shared" si="51"/>
        <v>0</v>
      </c>
      <c r="G56" s="189">
        <f t="shared" si="56"/>
        <v>0</v>
      </c>
      <c r="H56" s="84">
        <f t="shared" si="56"/>
        <v>0</v>
      </c>
      <c r="I56" s="84">
        <f t="shared" si="56"/>
        <v>0</v>
      </c>
      <c r="J56" s="84">
        <f t="shared" si="56"/>
        <v>0</v>
      </c>
      <c r="K56" s="189">
        <f t="shared" si="52"/>
        <v>0</v>
      </c>
      <c r="L56" s="189">
        <f t="shared" si="56"/>
        <v>0</v>
      </c>
      <c r="M56" s="84">
        <f t="shared" si="56"/>
        <v>0</v>
      </c>
      <c r="N56" s="84">
        <f t="shared" si="56"/>
        <v>0</v>
      </c>
      <c r="O56" s="84">
        <f t="shared" si="56"/>
        <v>0</v>
      </c>
      <c r="P56" s="189">
        <f t="shared" si="53"/>
        <v>0</v>
      </c>
      <c r="Q56" s="189">
        <f t="shared" si="56"/>
        <v>0</v>
      </c>
      <c r="R56" s="84">
        <f t="shared" si="56"/>
        <v>0</v>
      </c>
      <c r="S56" s="174"/>
      <c r="T56" s="174"/>
      <c r="U56" s="189">
        <f t="shared" si="54"/>
        <v>0</v>
      </c>
    </row>
    <row r="57" spans="1:21">
      <c r="A57" s="175" t="s">
        <v>170</v>
      </c>
      <c r="B57" s="84">
        <f t="shared" ref="B57:R57" si="57">B94-B19</f>
        <v>0</v>
      </c>
      <c r="C57" s="84">
        <f t="shared" si="57"/>
        <v>0</v>
      </c>
      <c r="D57" s="84">
        <f t="shared" si="57"/>
        <v>0</v>
      </c>
      <c r="E57" s="84">
        <f t="shared" si="57"/>
        <v>0</v>
      </c>
      <c r="F57" s="189">
        <f t="shared" si="51"/>
        <v>0</v>
      </c>
      <c r="G57" s="189">
        <f t="shared" si="57"/>
        <v>0</v>
      </c>
      <c r="H57" s="84">
        <f t="shared" si="57"/>
        <v>0</v>
      </c>
      <c r="I57" s="84">
        <f t="shared" si="57"/>
        <v>0</v>
      </c>
      <c r="J57" s="84">
        <f t="shared" si="57"/>
        <v>0</v>
      </c>
      <c r="K57" s="189">
        <f t="shared" si="52"/>
        <v>0</v>
      </c>
      <c r="L57" s="189">
        <f t="shared" si="57"/>
        <v>0</v>
      </c>
      <c r="M57" s="84">
        <f t="shared" si="57"/>
        <v>0</v>
      </c>
      <c r="N57" s="84">
        <f t="shared" si="57"/>
        <v>0</v>
      </c>
      <c r="O57" s="84">
        <f t="shared" si="57"/>
        <v>0</v>
      </c>
      <c r="P57" s="189">
        <f t="shared" si="53"/>
        <v>0</v>
      </c>
      <c r="Q57" s="189">
        <f t="shared" si="57"/>
        <v>0</v>
      </c>
      <c r="R57" s="84">
        <f t="shared" si="57"/>
        <v>0</v>
      </c>
      <c r="S57" s="174">
        <v>0</v>
      </c>
      <c r="T57" s="174">
        <v>0</v>
      </c>
      <c r="U57" s="189">
        <f t="shared" si="54"/>
        <v>0</v>
      </c>
    </row>
    <row r="58" spans="1:21">
      <c r="A58" s="175" t="s">
        <v>10</v>
      </c>
      <c r="B58" s="84">
        <f t="shared" ref="B58:R58" si="58">B95-B20</f>
        <v>0</v>
      </c>
      <c r="C58" s="84">
        <f t="shared" si="58"/>
        <v>0</v>
      </c>
      <c r="D58" s="84">
        <f t="shared" si="58"/>
        <v>0</v>
      </c>
      <c r="E58" s="84">
        <f t="shared" si="58"/>
        <v>0</v>
      </c>
      <c r="F58" s="189">
        <f t="shared" si="51"/>
        <v>0</v>
      </c>
      <c r="G58" s="189">
        <f t="shared" si="58"/>
        <v>0</v>
      </c>
      <c r="H58" s="84">
        <f t="shared" si="58"/>
        <v>0</v>
      </c>
      <c r="I58" s="84">
        <f t="shared" si="58"/>
        <v>0</v>
      </c>
      <c r="J58" s="84">
        <v>0</v>
      </c>
      <c r="K58" s="189">
        <f t="shared" si="52"/>
        <v>0</v>
      </c>
      <c r="L58" s="189">
        <f t="shared" si="58"/>
        <v>0</v>
      </c>
      <c r="M58" s="84">
        <f t="shared" si="58"/>
        <v>0</v>
      </c>
      <c r="N58" s="84">
        <f t="shared" si="58"/>
        <v>0</v>
      </c>
      <c r="O58" s="84">
        <f t="shared" si="58"/>
        <v>0</v>
      </c>
      <c r="P58" s="189">
        <f t="shared" si="53"/>
        <v>0</v>
      </c>
      <c r="Q58" s="189">
        <f t="shared" si="58"/>
        <v>0</v>
      </c>
      <c r="R58" s="84">
        <f t="shared" si="58"/>
        <v>0</v>
      </c>
      <c r="S58" s="174">
        <v>0</v>
      </c>
      <c r="T58" s="174">
        <v>0</v>
      </c>
      <c r="U58" s="189">
        <f t="shared" si="54"/>
        <v>0</v>
      </c>
    </row>
    <row r="59" spans="1:21">
      <c r="A59" s="175" t="s">
        <v>11</v>
      </c>
      <c r="B59" s="84">
        <f t="shared" ref="B59:R59" si="59">B96-B21</f>
        <v>0</v>
      </c>
      <c r="C59" s="84">
        <f t="shared" si="59"/>
        <v>0</v>
      </c>
      <c r="D59" s="84">
        <f t="shared" si="59"/>
        <v>0</v>
      </c>
      <c r="E59" s="84">
        <f t="shared" si="59"/>
        <v>0</v>
      </c>
      <c r="F59" s="189">
        <f t="shared" si="51"/>
        <v>0</v>
      </c>
      <c r="G59" s="189">
        <f t="shared" si="59"/>
        <v>0</v>
      </c>
      <c r="H59" s="84">
        <f t="shared" si="59"/>
        <v>0</v>
      </c>
      <c r="I59" s="84">
        <f t="shared" si="59"/>
        <v>0</v>
      </c>
      <c r="J59" s="84">
        <f t="shared" si="59"/>
        <v>0</v>
      </c>
      <c r="K59" s="189">
        <f t="shared" si="52"/>
        <v>0</v>
      </c>
      <c r="L59" s="189">
        <v>0</v>
      </c>
      <c r="M59" s="84">
        <v>0</v>
      </c>
      <c r="N59" s="84">
        <f t="shared" si="59"/>
        <v>0</v>
      </c>
      <c r="O59" s="84">
        <f t="shared" si="59"/>
        <v>0</v>
      </c>
      <c r="P59" s="189">
        <f t="shared" si="53"/>
        <v>0</v>
      </c>
      <c r="Q59" s="189">
        <f t="shared" si="59"/>
        <v>0</v>
      </c>
      <c r="R59" s="84">
        <f t="shared" si="59"/>
        <v>0</v>
      </c>
      <c r="S59" s="174">
        <v>0</v>
      </c>
      <c r="T59" s="174">
        <v>0</v>
      </c>
      <c r="U59" s="189">
        <f t="shared" si="54"/>
        <v>0</v>
      </c>
    </row>
    <row r="60" spans="1:21">
      <c r="A60" s="175" t="s">
        <v>12</v>
      </c>
      <c r="B60" s="84">
        <f t="shared" ref="B60:O60" si="60">B97-B22</f>
        <v>0</v>
      </c>
      <c r="C60" s="84">
        <f t="shared" si="60"/>
        <v>0</v>
      </c>
      <c r="D60" s="84">
        <f t="shared" si="60"/>
        <v>0</v>
      </c>
      <c r="E60" s="84">
        <f t="shared" si="60"/>
        <v>0</v>
      </c>
      <c r="F60" s="189">
        <f t="shared" si="51"/>
        <v>0</v>
      </c>
      <c r="G60" s="189">
        <v>0</v>
      </c>
      <c r="H60" s="84">
        <v>0</v>
      </c>
      <c r="I60" s="84">
        <v>0</v>
      </c>
      <c r="J60" s="84">
        <v>0</v>
      </c>
      <c r="K60" s="189">
        <f t="shared" si="52"/>
        <v>0</v>
      </c>
      <c r="L60" s="189">
        <v>0</v>
      </c>
      <c r="M60" s="84">
        <v>0</v>
      </c>
      <c r="N60" s="84">
        <f t="shared" si="60"/>
        <v>0</v>
      </c>
      <c r="O60" s="84">
        <f t="shared" si="60"/>
        <v>0</v>
      </c>
      <c r="P60" s="189">
        <f t="shared" si="53"/>
        <v>0</v>
      </c>
      <c r="Q60" s="189">
        <v>0</v>
      </c>
      <c r="R60" s="84">
        <v>0</v>
      </c>
      <c r="S60" s="174">
        <v>0</v>
      </c>
      <c r="T60" s="174">
        <v>0</v>
      </c>
      <c r="U60" s="189">
        <f t="shared" si="54"/>
        <v>0</v>
      </c>
    </row>
    <row r="61" spans="1:21">
      <c r="A61" s="175" t="s">
        <v>192</v>
      </c>
      <c r="B61" s="84">
        <v>0</v>
      </c>
      <c r="C61" s="84">
        <v>0</v>
      </c>
      <c r="D61" s="84">
        <v>-23.087</v>
      </c>
      <c r="E61" s="84">
        <v>0</v>
      </c>
      <c r="F61" s="189">
        <f t="shared" si="51"/>
        <v>-23.087</v>
      </c>
      <c r="G61" s="189">
        <v>-2.6850000000000001</v>
      </c>
      <c r="H61" s="84">
        <v>0</v>
      </c>
      <c r="I61" s="84">
        <v>0</v>
      </c>
      <c r="J61" s="84">
        <v>0</v>
      </c>
      <c r="K61" s="189">
        <f t="shared" si="52"/>
        <v>-2.6850000000000001</v>
      </c>
      <c r="L61" s="189">
        <v>0</v>
      </c>
      <c r="M61" s="84">
        <v>0</v>
      </c>
      <c r="N61" s="84">
        <v>0</v>
      </c>
      <c r="O61" s="84">
        <v>0</v>
      </c>
      <c r="P61" s="189">
        <f t="shared" si="53"/>
        <v>0</v>
      </c>
      <c r="Q61" s="189">
        <v>0</v>
      </c>
      <c r="R61" s="84">
        <v>0</v>
      </c>
      <c r="S61" s="174">
        <v>0</v>
      </c>
      <c r="T61" s="174">
        <v>0</v>
      </c>
      <c r="U61" s="189">
        <f t="shared" si="54"/>
        <v>0</v>
      </c>
    </row>
    <row r="62" spans="1:21" s="19" customFormat="1">
      <c r="A62" s="363" t="s">
        <v>171</v>
      </c>
      <c r="B62" s="80">
        <f t="shared" ref="B62:R62" si="61">B98-B24</f>
        <v>20.244000000000142</v>
      </c>
      <c r="C62" s="80">
        <f t="shared" si="61"/>
        <v>18.575000000000045</v>
      </c>
      <c r="D62" s="80">
        <f t="shared" si="61"/>
        <v>38.561700389999913</v>
      </c>
      <c r="E62" s="80">
        <f t="shared" si="61"/>
        <v>35.710999999999785</v>
      </c>
      <c r="F62" s="190">
        <f>+B62+C62+D62+E62</f>
        <v>113.09170038999989</v>
      </c>
      <c r="G62" s="190">
        <f t="shared" si="61"/>
        <v>18.288095099966711</v>
      </c>
      <c r="H62" s="80">
        <f t="shared" si="61"/>
        <v>21.644611316545166</v>
      </c>
      <c r="I62" s="80">
        <f t="shared" si="61"/>
        <v>34.930004194672478</v>
      </c>
      <c r="J62" s="80">
        <f t="shared" si="61"/>
        <v>129.77523377234178</v>
      </c>
      <c r="K62" s="190">
        <f>+G62+H62+I62+J62</f>
        <v>204.63794438352613</v>
      </c>
      <c r="L62" s="190">
        <f t="shared" si="61"/>
        <v>54.936884522204537</v>
      </c>
      <c r="M62" s="80">
        <f t="shared" si="61"/>
        <v>77.136400885507612</v>
      </c>
      <c r="N62" s="80">
        <f t="shared" si="61"/>
        <v>95.135343266801982</v>
      </c>
      <c r="O62" s="80">
        <f t="shared" si="61"/>
        <v>72.537908139896444</v>
      </c>
      <c r="P62" s="190">
        <f>+L62+M62+N62+O62</f>
        <v>299.74653681441055</v>
      </c>
      <c r="Q62" s="190">
        <f t="shared" si="61"/>
        <v>23.602024039262034</v>
      </c>
      <c r="R62" s="80">
        <f t="shared" si="61"/>
        <v>39.982771737330438</v>
      </c>
      <c r="S62" s="164">
        <f>+S55</f>
        <v>33.299999999999997</v>
      </c>
      <c r="T62" s="164">
        <f>+T55</f>
        <v>34.799999999999997</v>
      </c>
      <c r="U62" s="190">
        <f>+Q62+R62+S62+T62</f>
        <v>131.68479577659247</v>
      </c>
    </row>
    <row r="63" spans="1:21">
      <c r="A63" s="175" t="s">
        <v>172</v>
      </c>
      <c r="B63" s="84">
        <f t="shared" ref="B63:R63" si="62">B99-B25</f>
        <v>5.5330000000000013</v>
      </c>
      <c r="C63" s="84">
        <f t="shared" si="62"/>
        <v>5.3299999999999983</v>
      </c>
      <c r="D63" s="84">
        <f t="shared" si="62"/>
        <v>13.090000000000003</v>
      </c>
      <c r="E63" s="84">
        <f t="shared" si="62"/>
        <v>12.492999999999782</v>
      </c>
      <c r="F63" s="189">
        <f t="shared" si="62"/>
        <v>36.445999999999799</v>
      </c>
      <c r="G63" s="189">
        <f t="shared" si="62"/>
        <v>5.2720000000000056</v>
      </c>
      <c r="H63" s="84">
        <f t="shared" si="62"/>
        <v>6.6609999999999872</v>
      </c>
      <c r="I63" s="84">
        <f t="shared" si="62"/>
        <v>12.344999999999999</v>
      </c>
      <c r="J63" s="84">
        <f t="shared" si="62"/>
        <v>38.322000000000003</v>
      </c>
      <c r="K63" s="189">
        <f t="shared" ref="K63" si="63">K99-K25</f>
        <v>62.599999999999909</v>
      </c>
      <c r="L63" s="189">
        <f t="shared" si="62"/>
        <v>16.259</v>
      </c>
      <c r="M63" s="84">
        <f t="shared" si="62"/>
        <v>23.885999999999996</v>
      </c>
      <c r="N63" s="84">
        <f t="shared" si="62"/>
        <v>31.271000000000008</v>
      </c>
      <c r="O63" s="84">
        <f t="shared" si="62"/>
        <v>21.76600000000002</v>
      </c>
      <c r="P63" s="189">
        <f t="shared" si="62"/>
        <v>93.182000000000016</v>
      </c>
      <c r="Q63" s="189">
        <f t="shared" si="62"/>
        <v>8.4490000000000052</v>
      </c>
      <c r="R63" s="84">
        <f t="shared" si="62"/>
        <v>14.796154999999899</v>
      </c>
      <c r="S63" s="174">
        <v>10.199999999999999</v>
      </c>
      <c r="T63" s="174">
        <f>-143.4+8.7</f>
        <v>-134.70000000000002</v>
      </c>
      <c r="U63" s="189">
        <f t="shared" ref="U63" si="64">U99-U25</f>
        <v>-101.2548450000001</v>
      </c>
    </row>
    <row r="64" spans="1:21" s="19" customFormat="1">
      <c r="A64" s="363" t="s">
        <v>216</v>
      </c>
      <c r="B64" s="390">
        <f t="shared" ref="B64:S64" si="65">B63/(B62-B66)</f>
        <v>0.27331555028650278</v>
      </c>
      <c r="C64" s="390">
        <f t="shared" si="65"/>
        <v>0.28694481830417146</v>
      </c>
      <c r="D64" s="390">
        <f t="shared" si="65"/>
        <v>0.33945598528104826</v>
      </c>
      <c r="E64" s="390">
        <f t="shared" si="65"/>
        <v>0.34983618492900947</v>
      </c>
      <c r="F64" s="391">
        <f t="shared" si="65"/>
        <v>0.3222694492550271</v>
      </c>
      <c r="G64" s="391">
        <f t="shared" si="65"/>
        <v>0.2882749663746883</v>
      </c>
      <c r="H64" s="390">
        <f t="shared" si="65"/>
        <v>0.30774403395769512</v>
      </c>
      <c r="I64" s="390">
        <f t="shared" si="65"/>
        <v>0.35342108552860863</v>
      </c>
      <c r="J64" s="390">
        <f t="shared" si="65"/>
        <v>0.29529517216841528</v>
      </c>
      <c r="K64" s="391">
        <f t="shared" ref="K64" si="66">K63/(K62-K66)</f>
        <v>0.30590612209569951</v>
      </c>
      <c r="L64" s="391">
        <f t="shared" si="65"/>
        <v>0.29595780942817013</v>
      </c>
      <c r="M64" s="390">
        <f t="shared" si="65"/>
        <v>0.30965924940487727</v>
      </c>
      <c r="N64" s="390">
        <f t="shared" si="65"/>
        <v>0.32870013315978858</v>
      </c>
      <c r="O64" s="390">
        <f t="shared" si="65"/>
        <v>0.30006379503007119</v>
      </c>
      <c r="P64" s="391">
        <f t="shared" si="65"/>
        <v>0.31086931308799104</v>
      </c>
      <c r="Q64" s="391">
        <f t="shared" si="65"/>
        <v>0.35797777283613769</v>
      </c>
      <c r="R64" s="390">
        <f t="shared" si="65"/>
        <v>0.37006326367777237</v>
      </c>
      <c r="S64" s="390">
        <f t="shared" si="65"/>
        <v>0.30630630630630629</v>
      </c>
      <c r="T64" s="390">
        <f t="shared" ref="T64:U64" si="67">T63/(T62-T66)</f>
        <v>-3.8706896551724146</v>
      </c>
      <c r="U64" s="391">
        <f t="shared" si="67"/>
        <v>-0.76891826731297241</v>
      </c>
    </row>
    <row r="65" spans="1:21">
      <c r="A65" s="175" t="s">
        <v>173</v>
      </c>
      <c r="B65" s="174">
        <f t="shared" ref="B65:R65" si="68">B101-B27</f>
        <v>14.711000000000155</v>
      </c>
      <c r="C65" s="174">
        <f t="shared" si="68"/>
        <v>13.245000000000061</v>
      </c>
      <c r="D65" s="174">
        <f t="shared" si="68"/>
        <v>25.471700389999896</v>
      </c>
      <c r="E65" s="174">
        <f t="shared" si="68"/>
        <v>23.217999999999989</v>
      </c>
      <c r="F65" s="186">
        <f t="shared" si="68"/>
        <v>76.645700390000115</v>
      </c>
      <c r="G65" s="186">
        <f t="shared" si="68"/>
        <v>13.016095099966719</v>
      </c>
      <c r="H65" s="174">
        <f t="shared" si="68"/>
        <v>14.983611316545165</v>
      </c>
      <c r="I65" s="174">
        <f t="shared" si="68"/>
        <v>22.585004194672479</v>
      </c>
      <c r="J65" s="174">
        <f t="shared" si="68"/>
        <v>91.453233772341804</v>
      </c>
      <c r="K65" s="186">
        <f t="shared" ref="K65" si="69">K101-K27</f>
        <v>142.037944383526</v>
      </c>
      <c r="L65" s="186">
        <f t="shared" si="68"/>
        <v>38.677884522204536</v>
      </c>
      <c r="M65" s="174">
        <f t="shared" si="68"/>
        <v>53.250400885507617</v>
      </c>
      <c r="N65" s="174">
        <f t="shared" si="68"/>
        <v>63.864343266801967</v>
      </c>
      <c r="O65" s="174">
        <f t="shared" si="68"/>
        <v>50.771908139896482</v>
      </c>
      <c r="P65" s="186">
        <f t="shared" si="68"/>
        <v>206.56453681441076</v>
      </c>
      <c r="Q65" s="186">
        <f t="shared" si="68"/>
        <v>15.153024039262021</v>
      </c>
      <c r="R65" s="174">
        <f t="shared" si="68"/>
        <v>25.186616737330525</v>
      </c>
      <c r="S65" s="174">
        <f>+S62-S63</f>
        <v>23.099999999999998</v>
      </c>
      <c r="T65" s="174">
        <f>+T62-T63</f>
        <v>169.5</v>
      </c>
      <c r="U65" s="186">
        <f t="shared" ref="U65" si="70">U101-U27</f>
        <v>232.93964077659314</v>
      </c>
    </row>
    <row r="66" spans="1:21">
      <c r="A66" s="175" t="s">
        <v>164</v>
      </c>
      <c r="B66" s="174">
        <f t="shared" ref="B66:R66" si="71">B102-B28</f>
        <v>0</v>
      </c>
      <c r="C66" s="174">
        <f t="shared" si="71"/>
        <v>0</v>
      </c>
      <c r="D66" s="174">
        <f t="shared" si="71"/>
        <v>0</v>
      </c>
      <c r="E66" s="174">
        <f t="shared" si="71"/>
        <v>0</v>
      </c>
      <c r="F66" s="190">
        <f>+B66+C66+D66+E66</f>
        <v>0</v>
      </c>
      <c r="G66" s="186">
        <f t="shared" si="71"/>
        <v>0</v>
      </c>
      <c r="H66" s="174">
        <f t="shared" si="71"/>
        <v>0</v>
      </c>
      <c r="I66" s="174">
        <f t="shared" si="71"/>
        <v>0</v>
      </c>
      <c r="J66" s="174">
        <f t="shared" si="71"/>
        <v>0</v>
      </c>
      <c r="K66" s="190">
        <f>+G66+H66+I66+J66</f>
        <v>0</v>
      </c>
      <c r="L66" s="186">
        <f t="shared" si="71"/>
        <v>0</v>
      </c>
      <c r="M66" s="174">
        <f t="shared" si="71"/>
        <v>0</v>
      </c>
      <c r="N66" s="174">
        <f t="shared" si="71"/>
        <v>0</v>
      </c>
      <c r="O66" s="174">
        <f t="shared" si="71"/>
        <v>0</v>
      </c>
      <c r="P66" s="190">
        <f>+L66+M66+N66+O66</f>
        <v>0</v>
      </c>
      <c r="Q66" s="186">
        <f t="shared" si="71"/>
        <v>0</v>
      </c>
      <c r="R66" s="174">
        <f t="shared" si="71"/>
        <v>0</v>
      </c>
      <c r="S66" s="174">
        <v>0</v>
      </c>
      <c r="T66" s="174">
        <v>0</v>
      </c>
      <c r="U66" s="190">
        <f>+Q66+R66+S66+T66</f>
        <v>0</v>
      </c>
    </row>
    <row r="67" spans="1:21" s="21" customFormat="1" ht="17.55" customHeight="1" thickBot="1">
      <c r="A67" s="392" t="s">
        <v>193</v>
      </c>
      <c r="B67" s="393">
        <f t="shared" ref="B67:Q67" si="72">B103-B29</f>
        <v>14.711000000000155</v>
      </c>
      <c r="C67" s="393">
        <f t="shared" si="72"/>
        <v>13.245000000000061</v>
      </c>
      <c r="D67" s="393">
        <f t="shared" si="72"/>
        <v>25.471700389999896</v>
      </c>
      <c r="E67" s="393">
        <f t="shared" si="72"/>
        <v>23.217999999999989</v>
      </c>
      <c r="F67" s="396">
        <f t="shared" si="72"/>
        <v>76.645700390000115</v>
      </c>
      <c r="G67" s="396">
        <f t="shared" si="72"/>
        <v>13.016095099966719</v>
      </c>
      <c r="H67" s="393">
        <f t="shared" si="72"/>
        <v>14.983611316545179</v>
      </c>
      <c r="I67" s="393">
        <f t="shared" si="72"/>
        <v>22.585004194672479</v>
      </c>
      <c r="J67" s="393">
        <f t="shared" si="72"/>
        <v>91.453233772341775</v>
      </c>
      <c r="K67" s="396">
        <f t="shared" ref="K67" si="73">K103-K29</f>
        <v>142.037944383526</v>
      </c>
      <c r="L67" s="396">
        <f t="shared" si="72"/>
        <v>38.677884522204536</v>
      </c>
      <c r="M67" s="393">
        <f t="shared" si="72"/>
        <v>53.250400885507617</v>
      </c>
      <c r="N67" s="393">
        <f t="shared" si="72"/>
        <v>63.864343266801967</v>
      </c>
      <c r="O67" s="393">
        <f t="shared" si="72"/>
        <v>50.771908139896482</v>
      </c>
      <c r="P67" s="396">
        <f t="shared" si="72"/>
        <v>206.56453681441076</v>
      </c>
      <c r="Q67" s="396">
        <f t="shared" si="72"/>
        <v>15.153024039262021</v>
      </c>
      <c r="R67" s="393">
        <f>R103-R29</f>
        <v>25.186616737330525</v>
      </c>
      <c r="S67" s="393">
        <f>+S65-S66</f>
        <v>23.099999999999998</v>
      </c>
      <c r="T67" s="393">
        <f>+T65-T66</f>
        <v>169.5</v>
      </c>
      <c r="U67" s="396">
        <f t="shared" ref="U67" si="74">U103-U29</f>
        <v>232.93964077659314</v>
      </c>
    </row>
    <row r="68" spans="1:21" ht="4.2" customHeight="1" thickTop="1">
      <c r="A68" s="175"/>
      <c r="B68" s="79" t="s">
        <v>97</v>
      </c>
      <c r="C68" s="79" t="s">
        <v>97</v>
      </c>
      <c r="D68" s="79" t="s">
        <v>97</v>
      </c>
      <c r="E68" s="174" t="s">
        <v>97</v>
      </c>
      <c r="F68" s="186" t="s">
        <v>97</v>
      </c>
      <c r="G68" s="186" t="s">
        <v>97</v>
      </c>
      <c r="H68" s="174" t="s">
        <v>97</v>
      </c>
      <c r="I68" s="174" t="s">
        <v>97</v>
      </c>
      <c r="J68" s="174" t="s">
        <v>97</v>
      </c>
      <c r="K68" s="186" t="s">
        <v>97</v>
      </c>
      <c r="L68" s="186" t="s">
        <v>97</v>
      </c>
      <c r="M68" s="174" t="s">
        <v>97</v>
      </c>
      <c r="N68" s="174" t="s">
        <v>97</v>
      </c>
      <c r="O68" s="174" t="s">
        <v>97</v>
      </c>
      <c r="P68" s="186" t="s">
        <v>97</v>
      </c>
      <c r="Q68" s="186" t="s">
        <v>97</v>
      </c>
      <c r="R68" s="174" t="s">
        <v>97</v>
      </c>
      <c r="S68" s="174"/>
      <c r="T68" s="174"/>
      <c r="U68" s="186" t="s">
        <v>97</v>
      </c>
    </row>
    <row r="69" spans="1:21" ht="19.95" hidden="1" customHeight="1" outlineLevel="1">
      <c r="A69" s="175" t="s">
        <v>11</v>
      </c>
      <c r="B69" s="174">
        <f t="shared" ref="B69:R69" si="75">B105-B31</f>
        <v>0</v>
      </c>
      <c r="C69" s="174">
        <f t="shared" si="75"/>
        <v>0</v>
      </c>
      <c r="D69" s="174">
        <f t="shared" si="75"/>
        <v>0</v>
      </c>
      <c r="E69" s="174">
        <f t="shared" si="75"/>
        <v>0</v>
      </c>
      <c r="F69" s="186">
        <f t="shared" si="75"/>
        <v>0</v>
      </c>
      <c r="G69" s="186">
        <f t="shared" si="75"/>
        <v>0</v>
      </c>
      <c r="H69" s="174">
        <f t="shared" si="75"/>
        <v>0</v>
      </c>
      <c r="I69" s="174">
        <f t="shared" si="75"/>
        <v>0</v>
      </c>
      <c r="J69" s="174">
        <f t="shared" si="75"/>
        <v>0</v>
      </c>
      <c r="K69" s="186">
        <f t="shared" ref="K69" si="76">K105-K31</f>
        <v>0</v>
      </c>
      <c r="L69" s="186">
        <v>0</v>
      </c>
      <c r="M69" s="174">
        <v>0</v>
      </c>
      <c r="N69" s="174">
        <f t="shared" si="75"/>
        <v>0</v>
      </c>
      <c r="O69" s="174">
        <f t="shared" si="75"/>
        <v>0</v>
      </c>
      <c r="P69" s="186">
        <f t="shared" si="75"/>
        <v>-1.5148684869714657E-4</v>
      </c>
      <c r="Q69" s="186">
        <f t="shared" si="75"/>
        <v>0</v>
      </c>
      <c r="R69" s="174">
        <f t="shared" si="75"/>
        <v>0</v>
      </c>
      <c r="S69" s="174"/>
      <c r="T69" s="174"/>
      <c r="U69" s="186">
        <f t="shared" ref="U69" si="77">U105-U31</f>
        <v>0</v>
      </c>
    </row>
    <row r="70" spans="1:21" ht="15" hidden="1" customHeight="1" outlineLevel="1">
      <c r="A70" s="175" t="s">
        <v>12</v>
      </c>
      <c r="B70" s="174">
        <f t="shared" ref="B70:P70" si="78">B107-B33</f>
        <v>0</v>
      </c>
      <c r="C70" s="174">
        <f t="shared" si="78"/>
        <v>0</v>
      </c>
      <c r="D70" s="174">
        <f t="shared" si="78"/>
        <v>0</v>
      </c>
      <c r="E70" s="174">
        <f t="shared" si="78"/>
        <v>0</v>
      </c>
      <c r="F70" s="186">
        <f t="shared" si="78"/>
        <v>0</v>
      </c>
      <c r="G70" s="186">
        <v>0</v>
      </c>
      <c r="H70" s="174">
        <v>0</v>
      </c>
      <c r="I70" s="174">
        <v>0</v>
      </c>
      <c r="J70" s="174">
        <v>0</v>
      </c>
      <c r="K70" s="186">
        <f t="shared" ref="K70" si="79">K107-K33</f>
        <v>9.9016533521023575E-4</v>
      </c>
      <c r="L70" s="186">
        <v>0</v>
      </c>
      <c r="M70" s="174">
        <v>0</v>
      </c>
      <c r="N70" s="174">
        <f t="shared" si="78"/>
        <v>0</v>
      </c>
      <c r="O70" s="174">
        <f t="shared" si="78"/>
        <v>0</v>
      </c>
      <c r="P70" s="186">
        <f t="shared" si="78"/>
        <v>0</v>
      </c>
      <c r="Q70" s="186">
        <v>0</v>
      </c>
      <c r="R70" s="174">
        <v>0</v>
      </c>
      <c r="S70" s="174"/>
      <c r="T70" s="174"/>
      <c r="U70" s="186">
        <f t="shared" ref="U70" si="80">U107-U33</f>
        <v>1.0000000000047748E-3</v>
      </c>
    </row>
    <row r="71" spans="1:21" ht="15" customHeight="1" collapsed="1">
      <c r="A71" s="175" t="s">
        <v>172</v>
      </c>
      <c r="B71" s="174">
        <f t="shared" ref="B71:R71" si="81">B108-B35</f>
        <v>5.5330000000000013</v>
      </c>
      <c r="C71" s="174">
        <f t="shared" si="81"/>
        <v>5.3299999999999983</v>
      </c>
      <c r="D71" s="174">
        <f t="shared" si="81"/>
        <v>13.090000000000003</v>
      </c>
      <c r="E71" s="174">
        <f t="shared" si="81"/>
        <v>12.492999999999782</v>
      </c>
      <c r="F71" s="186">
        <f>+B71+C71+D71+E71</f>
        <v>36.445999999999785</v>
      </c>
      <c r="G71" s="186">
        <f t="shared" si="81"/>
        <v>5.2720000000000056</v>
      </c>
      <c r="H71" s="174">
        <f t="shared" si="81"/>
        <v>6.6609999999999872</v>
      </c>
      <c r="I71" s="174">
        <f t="shared" si="81"/>
        <v>12.344999999999999</v>
      </c>
      <c r="J71" s="174">
        <f t="shared" si="81"/>
        <v>38.322000000000003</v>
      </c>
      <c r="K71" s="186">
        <f>+G71+H71+I71+J71</f>
        <v>62.599999999999994</v>
      </c>
      <c r="L71" s="186">
        <f t="shared" si="81"/>
        <v>16.259</v>
      </c>
      <c r="M71" s="174">
        <f t="shared" si="81"/>
        <v>23.885999999999996</v>
      </c>
      <c r="N71" s="174">
        <f t="shared" si="81"/>
        <v>31.271000000000008</v>
      </c>
      <c r="O71" s="174">
        <f t="shared" si="81"/>
        <v>21.76600000000002</v>
      </c>
      <c r="P71" s="186">
        <f>+L71+M71+N71+O71</f>
        <v>93.182000000000016</v>
      </c>
      <c r="Q71" s="186">
        <f t="shared" si="81"/>
        <v>8.4490000000000052</v>
      </c>
      <c r="R71" s="174">
        <f t="shared" si="81"/>
        <v>14.796154999999899</v>
      </c>
      <c r="S71" s="174">
        <f>+S63</f>
        <v>10.199999999999999</v>
      </c>
      <c r="T71" s="174">
        <f>+T63</f>
        <v>-134.70000000000002</v>
      </c>
      <c r="U71" s="186">
        <f>+Q71+R71+S71+T71</f>
        <v>-101.25484500000012</v>
      </c>
    </row>
    <row r="72" spans="1:21" ht="15" customHeight="1">
      <c r="A72" s="175" t="str">
        <f>+A61</f>
        <v>Write-off of financing costs</v>
      </c>
      <c r="B72" s="174">
        <v>0</v>
      </c>
      <c r="C72" s="174">
        <v>0</v>
      </c>
      <c r="D72" s="174">
        <f>+D61</f>
        <v>-23.087</v>
      </c>
      <c r="E72" s="174">
        <v>0</v>
      </c>
      <c r="F72" s="186">
        <f>+B72+C72+D72+E72</f>
        <v>-23.087</v>
      </c>
      <c r="G72" s="186">
        <f>+G61</f>
        <v>-2.6850000000000001</v>
      </c>
      <c r="H72" s="174">
        <f>+H61</f>
        <v>0</v>
      </c>
      <c r="I72" s="174">
        <f>+I61</f>
        <v>0</v>
      </c>
      <c r="J72" s="174">
        <f>+J61</f>
        <v>0</v>
      </c>
      <c r="K72" s="186">
        <f>+G72+H72+I72+J72</f>
        <v>-2.6850000000000001</v>
      </c>
      <c r="L72" s="186">
        <v>0</v>
      </c>
      <c r="M72" s="174">
        <v>0</v>
      </c>
      <c r="N72" s="174">
        <v>0</v>
      </c>
      <c r="O72" s="174">
        <v>0</v>
      </c>
      <c r="P72" s="186">
        <f>+L72+M72+N72+O72</f>
        <v>0</v>
      </c>
      <c r="Q72" s="186">
        <v>0</v>
      </c>
      <c r="R72" s="174">
        <v>0</v>
      </c>
      <c r="S72" s="174">
        <v>0</v>
      </c>
      <c r="T72" s="174">
        <v>0</v>
      </c>
      <c r="U72" s="186">
        <f>+Q72+R72+S72+T72</f>
        <v>0</v>
      </c>
    </row>
    <row r="73" spans="1:21" s="19" customFormat="1" ht="15" customHeight="1">
      <c r="A73" s="363" t="s">
        <v>169</v>
      </c>
      <c r="B73" s="164">
        <f t="shared" ref="B73:R73" si="82">B109-B36</f>
        <v>-18.680999999999997</v>
      </c>
      <c r="C73" s="164">
        <f t="shared" si="82"/>
        <v>-16.008000000000003</v>
      </c>
      <c r="D73" s="164">
        <f t="shared" si="82"/>
        <v>-16.179000000000102</v>
      </c>
      <c r="E73" s="164">
        <f t="shared" si="82"/>
        <v>-15.26399999999979</v>
      </c>
      <c r="F73" s="187">
        <f>+B73+C73+D73+E73</f>
        <v>-66.131999999999891</v>
      </c>
      <c r="G73" s="187">
        <f t="shared" si="82"/>
        <v>-15.160672029966697</v>
      </c>
      <c r="H73" s="164">
        <f t="shared" si="82"/>
        <v>-14.726486451073995</v>
      </c>
      <c r="I73" s="164">
        <f t="shared" si="82"/>
        <v>-16.875352493712604</v>
      </c>
      <c r="J73" s="164">
        <f t="shared" si="82"/>
        <v>-39.801195414895098</v>
      </c>
      <c r="K73" s="187">
        <f>+G73+H73+I73+J73</f>
        <v>-86.563706389648388</v>
      </c>
      <c r="L73" s="187">
        <f t="shared" si="82"/>
        <v>-24.870650360973393</v>
      </c>
      <c r="M73" s="164">
        <f t="shared" si="82"/>
        <v>-26.581743382964795</v>
      </c>
      <c r="N73" s="164">
        <f t="shared" si="82"/>
        <v>-30.306035532400706</v>
      </c>
      <c r="O73" s="164">
        <f t="shared" si="82"/>
        <v>-29.346906404484415</v>
      </c>
      <c r="P73" s="187">
        <f>+L73+M73+N73+O73</f>
        <v>-111.1053356808233</v>
      </c>
      <c r="Q73" s="187">
        <f t="shared" si="82"/>
        <v>-26.953768307510799</v>
      </c>
      <c r="R73" s="164">
        <f t="shared" si="82"/>
        <v>-27.337174869401196</v>
      </c>
      <c r="S73" s="164">
        <f>+S50</f>
        <v>-28.2</v>
      </c>
      <c r="T73" s="164">
        <f>+T50</f>
        <v>-30.4</v>
      </c>
      <c r="U73" s="187">
        <f>+Q73+R73+S73+T73</f>
        <v>-112.890943176912</v>
      </c>
    </row>
    <row r="74" spans="1:21" s="9" customFormat="1" ht="15" customHeight="1">
      <c r="A74" s="362" t="s">
        <v>98</v>
      </c>
      <c r="B74" s="177">
        <f t="shared" ref="B74:S74" si="83">+B67+B71+B72+B73</f>
        <v>1.5630000000001587</v>
      </c>
      <c r="C74" s="177">
        <f t="shared" si="83"/>
        <v>2.567000000000057</v>
      </c>
      <c r="D74" s="177">
        <f t="shared" si="83"/>
        <v>-0.70429961000020214</v>
      </c>
      <c r="E74" s="177">
        <f t="shared" si="83"/>
        <v>20.446999999999981</v>
      </c>
      <c r="F74" s="378">
        <f t="shared" si="83"/>
        <v>23.872700390000006</v>
      </c>
      <c r="G74" s="378">
        <f t="shared" si="83"/>
        <v>0.4424230700000269</v>
      </c>
      <c r="H74" s="177">
        <f t="shared" si="83"/>
        <v>6.9181248654711709</v>
      </c>
      <c r="I74" s="177">
        <f t="shared" si="83"/>
        <v>18.054651700959873</v>
      </c>
      <c r="J74" s="177">
        <f t="shared" si="83"/>
        <v>89.974038357446688</v>
      </c>
      <c r="K74" s="378">
        <f t="shared" ref="K74" si="84">+K67+K71+K72+K73</f>
        <v>115.3892379938776</v>
      </c>
      <c r="L74" s="378">
        <f t="shared" si="83"/>
        <v>30.066234161231144</v>
      </c>
      <c r="M74" s="177">
        <f t="shared" si="83"/>
        <v>50.554657502542817</v>
      </c>
      <c r="N74" s="177">
        <f t="shared" si="83"/>
        <v>64.829307734401283</v>
      </c>
      <c r="O74" s="177">
        <f t="shared" si="83"/>
        <v>43.191001735412087</v>
      </c>
      <c r="P74" s="378">
        <f t="shared" si="83"/>
        <v>188.64120113358746</v>
      </c>
      <c r="Q74" s="378">
        <f t="shared" si="83"/>
        <v>-3.3517442682487726</v>
      </c>
      <c r="R74" s="177">
        <f t="shared" si="83"/>
        <v>12.645596867929228</v>
      </c>
      <c r="S74" s="177">
        <f t="shared" si="83"/>
        <v>5.0999999999999979</v>
      </c>
      <c r="T74" s="177">
        <f t="shared" ref="T74:U74" si="85">+T67+T71+T72+T73</f>
        <v>4.3999999999999844</v>
      </c>
      <c r="U74" s="378">
        <f t="shared" si="85"/>
        <v>18.793852599681031</v>
      </c>
    </row>
    <row r="75" spans="1:21" ht="3.75" customHeight="1">
      <c r="A75" s="175"/>
      <c r="B75" s="193"/>
      <c r="C75" s="193"/>
      <c r="D75" s="193"/>
      <c r="E75" s="193"/>
      <c r="F75" s="188"/>
      <c r="G75" s="188"/>
      <c r="H75" s="193"/>
      <c r="I75" s="193"/>
      <c r="J75" s="193"/>
      <c r="K75" s="188"/>
      <c r="L75" s="188"/>
      <c r="M75" s="193"/>
      <c r="N75" s="193"/>
      <c r="O75" s="193"/>
      <c r="P75" s="188"/>
      <c r="Q75" s="188"/>
      <c r="R75" s="174"/>
      <c r="S75" s="193"/>
      <c r="T75" s="193"/>
      <c r="U75" s="188"/>
    </row>
    <row r="76" spans="1:21">
      <c r="A76" s="175" t="s">
        <v>176</v>
      </c>
      <c r="B76" s="194">
        <v>333.34951899999999</v>
      </c>
      <c r="C76" s="194">
        <v>333.91861999999998</v>
      </c>
      <c r="D76" s="194">
        <v>334.293046</v>
      </c>
      <c r="E76" s="194">
        <v>335.10683799999998</v>
      </c>
      <c r="F76" s="383">
        <v>334.17150900000001</v>
      </c>
      <c r="G76" s="383">
        <v>335.69859000000002</v>
      </c>
      <c r="H76" s="194">
        <v>336.15452399999998</v>
      </c>
      <c r="I76" s="194">
        <v>336.56187699999998</v>
      </c>
      <c r="J76" s="194">
        <v>337.22382399999998</v>
      </c>
      <c r="K76" s="383">
        <v>336.41485599999999</v>
      </c>
      <c r="L76" s="383">
        <v>337.50623200000001</v>
      </c>
      <c r="M76" s="194">
        <v>338.08064100000001</v>
      </c>
      <c r="N76" s="194">
        <v>338.48897499999998</v>
      </c>
      <c r="O76" s="194">
        <v>338.83946900000001</v>
      </c>
      <c r="P76" s="383">
        <v>338.42456299999998</v>
      </c>
      <c r="Q76" s="383">
        <v>339.69057900000001</v>
      </c>
      <c r="R76" s="194">
        <v>340.88260300000002</v>
      </c>
      <c r="S76" s="193">
        <f>+S39</f>
        <v>341.2</v>
      </c>
      <c r="T76" s="193">
        <f>+T39</f>
        <v>341.7</v>
      </c>
      <c r="U76" s="383">
        <f>+U39</f>
        <v>340.8</v>
      </c>
    </row>
    <row r="77" spans="1:21" ht="17.55" customHeight="1">
      <c r="A77" s="175" t="s">
        <v>194</v>
      </c>
      <c r="B77" s="204">
        <f t="shared" ref="B77:P77" si="86">+B67/B76</f>
        <v>4.4130857137970415E-2</v>
      </c>
      <c r="C77" s="204">
        <f t="shared" si="86"/>
        <v>3.9665353192942829E-2</v>
      </c>
      <c r="D77" s="204">
        <f t="shared" si="86"/>
        <v>7.6195723167989254E-2</v>
      </c>
      <c r="E77" s="204">
        <f t="shared" si="86"/>
        <v>6.9285366238930612E-2</v>
      </c>
      <c r="F77" s="384">
        <f t="shared" si="86"/>
        <v>0.22936036833110185</v>
      </c>
      <c r="G77" s="384">
        <f t="shared" si="86"/>
        <v>3.8773159875252136E-2</v>
      </c>
      <c r="H77" s="204">
        <f t="shared" si="86"/>
        <v>4.4573582227158071E-2</v>
      </c>
      <c r="I77" s="204">
        <f t="shared" si="86"/>
        <v>6.7105057756355696E-2</v>
      </c>
      <c r="J77" s="204">
        <f t="shared" si="86"/>
        <v>0.27119446273861653</v>
      </c>
      <c r="K77" s="384">
        <f t="shared" si="86"/>
        <v>0.42221067782906113</v>
      </c>
      <c r="L77" s="384">
        <f t="shared" si="86"/>
        <v>0.11459902323286444</v>
      </c>
      <c r="M77" s="204">
        <f t="shared" si="86"/>
        <v>0.15750798604735139</v>
      </c>
      <c r="N77" s="204">
        <f t="shared" si="86"/>
        <v>0.18867481065462169</v>
      </c>
      <c r="O77" s="204">
        <f t="shared" si="86"/>
        <v>0.14984059646220399</v>
      </c>
      <c r="P77" s="384">
        <f t="shared" si="86"/>
        <v>0.61037099371067449</v>
      </c>
      <c r="Q77" s="384">
        <f>+Q67/Q76</f>
        <v>4.4608314083570806E-2</v>
      </c>
      <c r="R77" s="204">
        <f>+R67/R76</f>
        <v>7.3886483251627028E-2</v>
      </c>
      <c r="S77" s="204">
        <f>+S67/S76</f>
        <v>6.7702227432590856E-2</v>
      </c>
      <c r="T77" s="204">
        <f>+T67/T76</f>
        <v>0.49604916593503073</v>
      </c>
      <c r="U77" s="384">
        <f t="shared" ref="U77" si="87">+U67/U76</f>
        <v>0.68350833561206903</v>
      </c>
    </row>
    <row r="78" spans="1:21">
      <c r="A78" s="175"/>
      <c r="B78" s="74"/>
      <c r="C78" s="74"/>
      <c r="D78" s="74"/>
      <c r="E78" s="74"/>
      <c r="F78" s="160"/>
      <c r="G78" s="160"/>
      <c r="H78" s="74"/>
      <c r="I78" s="74"/>
      <c r="J78" s="74"/>
      <c r="K78" s="160"/>
      <c r="L78" s="160"/>
      <c r="M78" s="74"/>
      <c r="N78" s="74"/>
      <c r="O78" s="74"/>
      <c r="P78" s="160"/>
      <c r="Q78" s="160"/>
      <c r="R78" s="74"/>
      <c r="S78" s="74"/>
      <c r="T78" s="74"/>
      <c r="U78" s="160"/>
    </row>
    <row r="79" spans="1:21">
      <c r="A79" s="362" t="s">
        <v>97</v>
      </c>
      <c r="B79" s="77"/>
      <c r="C79" s="78"/>
      <c r="D79" s="74"/>
      <c r="E79" s="74"/>
      <c r="F79" s="160"/>
      <c r="G79" s="160"/>
      <c r="H79" s="74"/>
      <c r="I79" s="74"/>
      <c r="J79" s="74"/>
      <c r="K79" s="160"/>
      <c r="L79" s="160"/>
      <c r="M79" s="74"/>
      <c r="N79" s="74"/>
      <c r="O79" s="74"/>
      <c r="P79" s="160"/>
      <c r="Q79" s="160"/>
      <c r="R79" s="74"/>
      <c r="S79" s="74"/>
      <c r="T79" s="74"/>
      <c r="U79" s="160"/>
    </row>
    <row r="80" spans="1:21" s="435" customFormat="1">
      <c r="A80" s="468" t="s">
        <v>245</v>
      </c>
      <c r="B80" s="469"/>
      <c r="C80" s="469"/>
      <c r="D80" s="469"/>
      <c r="E80" s="469"/>
      <c r="F80" s="470"/>
      <c r="G80" s="470"/>
      <c r="H80" s="469"/>
      <c r="I80" s="469"/>
      <c r="J80" s="469"/>
      <c r="K80" s="470"/>
      <c r="L80" s="470"/>
      <c r="M80" s="469"/>
      <c r="N80" s="469"/>
      <c r="O80" s="469"/>
      <c r="P80" s="470"/>
      <c r="Q80" s="470"/>
      <c r="R80" s="469"/>
      <c r="S80" s="469"/>
      <c r="T80" s="469"/>
      <c r="U80" s="470"/>
    </row>
    <row r="81" spans="1:21">
      <c r="A81" s="362" t="s">
        <v>132</v>
      </c>
      <c r="B81" s="177">
        <v>1328.3486741081199</v>
      </c>
      <c r="C81" s="177">
        <v>1591.7235114263001</v>
      </c>
      <c r="D81" s="177">
        <v>1697.7674859357301</v>
      </c>
      <c r="E81" s="177">
        <v>2173.4518532575598</v>
      </c>
      <c r="F81" s="378">
        <f>+B81+C81+D81+E81</f>
        <v>6791.2915247277106</v>
      </c>
      <c r="G81" s="378">
        <v>1455.13987445866</v>
      </c>
      <c r="H81" s="177">
        <v>1780.2232168268499</v>
      </c>
      <c r="I81" s="177">
        <v>1939.70289843719</v>
      </c>
      <c r="J81" s="177">
        <v>2555.2718039610099</v>
      </c>
      <c r="K81" s="378">
        <f>+G81+H81+I81+J81</f>
        <v>7730.3377936837096</v>
      </c>
      <c r="L81" s="378">
        <v>1836.3745856288299</v>
      </c>
      <c r="M81" s="177">
        <v>2120.2485646578903</v>
      </c>
      <c r="N81" s="177">
        <v>2113.9067588978501</v>
      </c>
      <c r="O81" s="177">
        <v>2655.2988919493901</v>
      </c>
      <c r="P81" s="378">
        <f>+L81+M81+N81+O81</f>
        <v>8725.828801133961</v>
      </c>
      <c r="Q81" s="378">
        <v>1921.0748884779</v>
      </c>
      <c r="R81" s="177">
        <v>2192.3549771152602</v>
      </c>
      <c r="S81" s="177">
        <f>+S6+S44</f>
        <v>2321.3000000000002</v>
      </c>
      <c r="T81" s="177">
        <f>+T6+T44</f>
        <v>2954.6</v>
      </c>
      <c r="U81" s="378">
        <f>+Q81+R81+S81+T81</f>
        <v>9389.3298655931594</v>
      </c>
    </row>
    <row r="82" spans="1:21" s="397" customFormat="1">
      <c r="A82" s="363" t="s">
        <v>49</v>
      </c>
      <c r="B82" s="164">
        <v>532.49342759228989</v>
      </c>
      <c r="C82" s="164">
        <v>535.08222468568988</v>
      </c>
      <c r="D82" s="164">
        <v>577.30863590551985</v>
      </c>
      <c r="E82" s="164">
        <v>613.74182730250004</v>
      </c>
      <c r="F82" s="187">
        <f>+B82+C82+D82+E82</f>
        <v>2258.6261154859994</v>
      </c>
      <c r="G82" s="187">
        <v>597.36323608061002</v>
      </c>
      <c r="H82" s="164">
        <v>610.28310806372042</v>
      </c>
      <c r="I82" s="164">
        <v>772.85576539658996</v>
      </c>
      <c r="J82" s="164">
        <v>1144.97048241325</v>
      </c>
      <c r="K82" s="187">
        <f>+G82+H82+I82+J82</f>
        <v>3125.4725919541706</v>
      </c>
      <c r="L82" s="187">
        <v>1010.3593127012803</v>
      </c>
      <c r="M82" s="164">
        <v>1087.2881723207497</v>
      </c>
      <c r="N82" s="164">
        <v>1079.5802335134995</v>
      </c>
      <c r="O82" s="164">
        <v>1168.5321157685698</v>
      </c>
      <c r="P82" s="187">
        <f>+L82+M82+N82+O82</f>
        <v>4345.7598343040991</v>
      </c>
      <c r="Q82" s="187">
        <v>1060.1288724762999</v>
      </c>
      <c r="R82" s="164">
        <v>1149.8598246400397</v>
      </c>
      <c r="S82" s="164">
        <f>+S7+S45</f>
        <v>1228.7</v>
      </c>
      <c r="T82" s="164">
        <f>+T7+T45</f>
        <v>1381.6</v>
      </c>
      <c r="U82" s="187">
        <f>+Q82+R82+S82+T82</f>
        <v>4820.2886971163389</v>
      </c>
    </row>
    <row r="83" spans="1:21">
      <c r="A83" s="362" t="s">
        <v>152</v>
      </c>
      <c r="B83" s="177">
        <f t="shared" ref="B83:S83" si="88">+B81+B82</f>
        <v>1860.8421017004098</v>
      </c>
      <c r="C83" s="177">
        <f t="shared" si="88"/>
        <v>2126.80573611199</v>
      </c>
      <c r="D83" s="177">
        <f t="shared" si="88"/>
        <v>2275.0761218412499</v>
      </c>
      <c r="E83" s="177">
        <f t="shared" si="88"/>
        <v>2787.1936805600599</v>
      </c>
      <c r="F83" s="378">
        <f t="shared" si="88"/>
        <v>9049.9176402137091</v>
      </c>
      <c r="G83" s="378">
        <f t="shared" si="88"/>
        <v>2052.50311053927</v>
      </c>
      <c r="H83" s="177">
        <f t="shared" si="88"/>
        <v>2390.5063248905703</v>
      </c>
      <c r="I83" s="177">
        <f t="shared" si="88"/>
        <v>2712.55866383378</v>
      </c>
      <c r="J83" s="177">
        <f t="shared" si="88"/>
        <v>3700.2422863742599</v>
      </c>
      <c r="K83" s="378">
        <f t="shared" ref="K83" si="89">+K81+K82</f>
        <v>10855.81038563788</v>
      </c>
      <c r="L83" s="378">
        <f t="shared" si="88"/>
        <v>2846.7338983301102</v>
      </c>
      <c r="M83" s="177">
        <f t="shared" si="88"/>
        <v>3207.53673697864</v>
      </c>
      <c r="N83" s="177">
        <f t="shared" si="88"/>
        <v>3193.4869924113495</v>
      </c>
      <c r="O83" s="177">
        <f t="shared" si="88"/>
        <v>3823.8310077179599</v>
      </c>
      <c r="P83" s="378">
        <f t="shared" si="88"/>
        <v>13071.58863543806</v>
      </c>
      <c r="Q83" s="378">
        <f t="shared" si="88"/>
        <v>2981.2037609541999</v>
      </c>
      <c r="R83" s="177">
        <f t="shared" si="88"/>
        <v>3342.2148017553</v>
      </c>
      <c r="S83" s="177">
        <f t="shared" si="88"/>
        <v>3550</v>
      </c>
      <c r="T83" s="177">
        <f t="shared" ref="T83:U83" si="90">+T81+T82</f>
        <v>4336.2</v>
      </c>
      <c r="U83" s="378">
        <f t="shared" si="90"/>
        <v>14209.618562709498</v>
      </c>
    </row>
    <row r="84" spans="1:21" ht="3.75" customHeight="1">
      <c r="A84" s="175"/>
      <c r="B84" s="174"/>
      <c r="C84" s="174"/>
      <c r="D84" s="174"/>
      <c r="E84" s="174"/>
      <c r="F84" s="186"/>
      <c r="G84" s="186"/>
      <c r="H84" s="174"/>
      <c r="I84" s="174"/>
      <c r="J84" s="174"/>
      <c r="K84" s="186"/>
      <c r="L84" s="186"/>
      <c r="M84" s="174"/>
      <c r="N84" s="174"/>
      <c r="O84" s="174"/>
      <c r="P84" s="186"/>
      <c r="Q84" s="186"/>
      <c r="R84" s="174"/>
      <c r="S84" s="174"/>
      <c r="T84" s="174"/>
      <c r="U84" s="186"/>
    </row>
    <row r="85" spans="1:21">
      <c r="A85" s="175" t="s">
        <v>167</v>
      </c>
      <c r="B85" s="174">
        <v>1161.4604834777801</v>
      </c>
      <c r="C85" s="174">
        <v>1314.4724831185401</v>
      </c>
      <c r="D85" s="174">
        <v>1428.98634186707</v>
      </c>
      <c r="E85" s="174">
        <v>1706.3420978935799</v>
      </c>
      <c r="F85" s="186">
        <f>+B85+C85+D85+E85</f>
        <v>5611.2614063569708</v>
      </c>
      <c r="G85" s="186">
        <v>1290.77701495054</v>
      </c>
      <c r="H85" s="174">
        <v>1487.9747196857099</v>
      </c>
      <c r="I85" s="174">
        <v>1773.5619787857599</v>
      </c>
      <c r="J85" s="174">
        <v>2512.3184493103799</v>
      </c>
      <c r="K85" s="186">
        <f>+G85+H85+I85+J85</f>
        <v>7064.6321627323905</v>
      </c>
      <c r="L85" s="186">
        <v>2008.92787830317</v>
      </c>
      <c r="M85" s="174">
        <v>2236.2206881094999</v>
      </c>
      <c r="N85" s="174">
        <v>2237.7206875255697</v>
      </c>
      <c r="O85" s="174">
        <v>2600.9368699942697</v>
      </c>
      <c r="P85" s="186">
        <f>+L85+M85+N85+O85</f>
        <v>9083.8061239325107</v>
      </c>
      <c r="Q85" s="186">
        <v>2086.9792402742801</v>
      </c>
      <c r="R85" s="174">
        <v>2317.5627889415496</v>
      </c>
      <c r="S85" s="174">
        <f t="shared" ref="S85:T87" si="91">+S10+S48</f>
        <v>2513.35</v>
      </c>
      <c r="T85" s="174">
        <f t="shared" si="91"/>
        <v>2974.2489999999998</v>
      </c>
      <c r="U85" s="186">
        <f>+Q85+R85+S85+T85</f>
        <v>9892.1410292158289</v>
      </c>
    </row>
    <row r="86" spans="1:21">
      <c r="A86" s="175" t="s">
        <v>168</v>
      </c>
      <c r="B86" s="174">
        <v>526.83169063529704</v>
      </c>
      <c r="C86" s="174">
        <v>563.63597187637401</v>
      </c>
      <c r="D86" s="174">
        <v>601.72915494072606</v>
      </c>
      <c r="E86" s="174">
        <v>722.89053746635307</v>
      </c>
      <c r="F86" s="186">
        <f>+B86+C86+D86+E86</f>
        <v>2415.0873549187504</v>
      </c>
      <c r="G86" s="186">
        <v>531.33351466510203</v>
      </c>
      <c r="H86" s="174">
        <v>603.23761274643198</v>
      </c>
      <c r="I86" s="174">
        <v>608.94853910823201</v>
      </c>
      <c r="J86" s="174">
        <v>793.01516509127703</v>
      </c>
      <c r="K86" s="186">
        <f>+G86+H86+I86+J86</f>
        <v>2536.534831611043</v>
      </c>
      <c r="L86" s="186">
        <v>617.98599958358</v>
      </c>
      <c r="M86" s="174">
        <v>647.898830932961</v>
      </c>
      <c r="N86" s="174">
        <v>636.762647414914</v>
      </c>
      <c r="O86" s="174">
        <v>729.93197454234394</v>
      </c>
      <c r="P86" s="186">
        <f>+L86+M86+N86+O86</f>
        <v>2632.5794524737989</v>
      </c>
      <c r="Q86" s="186">
        <v>609.62850399396893</v>
      </c>
      <c r="R86" s="174">
        <v>700.73961419052102</v>
      </c>
      <c r="S86" s="174">
        <f t="shared" si="91"/>
        <v>699.8</v>
      </c>
      <c r="T86" s="174">
        <f t="shared" si="91"/>
        <v>830.80000000000007</v>
      </c>
      <c r="U86" s="186">
        <f>+Q86+R86+S86+T86</f>
        <v>2840.9681181844899</v>
      </c>
    </row>
    <row r="87" spans="1:21" s="19" customFormat="1">
      <c r="A87" s="363" t="s">
        <v>169</v>
      </c>
      <c r="B87" s="164">
        <v>46.521766461531499</v>
      </c>
      <c r="C87" s="164">
        <v>47.287314906092398</v>
      </c>
      <c r="D87" s="164">
        <v>50.980281426814102</v>
      </c>
      <c r="E87" s="164">
        <v>54.180182211291502</v>
      </c>
      <c r="F87" s="187">
        <f>+B87+C87+D87+E87</f>
        <v>198.96954500572949</v>
      </c>
      <c r="G87" s="187">
        <v>54.685038588435098</v>
      </c>
      <c r="H87" s="164">
        <v>55.878643797031302</v>
      </c>
      <c r="I87" s="164">
        <v>58.1718559497751</v>
      </c>
      <c r="J87" s="164">
        <v>58.797109393714003</v>
      </c>
      <c r="K87" s="187">
        <f>+G87+H87+I87+J87</f>
        <v>227.53264772895551</v>
      </c>
      <c r="L87" s="187">
        <v>62.123196839261304</v>
      </c>
      <c r="M87" s="164">
        <v>63.686033517489797</v>
      </c>
      <c r="N87" s="164">
        <v>62.419600855180597</v>
      </c>
      <c r="O87" s="164">
        <v>67.592956308733193</v>
      </c>
      <c r="P87" s="187">
        <f>+L87+M87+N87+O87</f>
        <v>255.82178752066488</v>
      </c>
      <c r="Q87" s="187">
        <v>67.046231692489201</v>
      </c>
      <c r="R87" s="164">
        <v>73.061825130598805</v>
      </c>
      <c r="S87" s="164">
        <f t="shared" si="91"/>
        <v>74.45</v>
      </c>
      <c r="T87" s="164">
        <f t="shared" si="91"/>
        <v>78.699999999999989</v>
      </c>
      <c r="U87" s="187">
        <f>+Q87+R87+S87+T87</f>
        <v>293.258056823088</v>
      </c>
    </row>
    <row r="88" spans="1:21">
      <c r="A88" s="175" t="s">
        <v>6</v>
      </c>
      <c r="B88" s="210">
        <f t="shared" ref="B88:S88" si="92">+B85+B86+B87</f>
        <v>1734.8139405746088</v>
      </c>
      <c r="C88" s="210">
        <f t="shared" si="92"/>
        <v>1925.3957699010066</v>
      </c>
      <c r="D88" s="210">
        <f t="shared" si="92"/>
        <v>2081.6957782346103</v>
      </c>
      <c r="E88" s="210">
        <f t="shared" si="92"/>
        <v>2483.4128175712244</v>
      </c>
      <c r="F88" s="385">
        <f t="shared" si="92"/>
        <v>8225.3183062814514</v>
      </c>
      <c r="G88" s="385">
        <f t="shared" si="92"/>
        <v>1876.7955682040772</v>
      </c>
      <c r="H88" s="210">
        <f t="shared" si="92"/>
        <v>2147.0909762291731</v>
      </c>
      <c r="I88" s="210">
        <f t="shared" si="92"/>
        <v>2440.682373843767</v>
      </c>
      <c r="J88" s="210">
        <f t="shared" si="92"/>
        <v>3364.1307237953711</v>
      </c>
      <c r="K88" s="385">
        <f t="shared" si="92"/>
        <v>9828.6996420723899</v>
      </c>
      <c r="L88" s="385">
        <f t="shared" si="92"/>
        <v>2689.0370747260113</v>
      </c>
      <c r="M88" s="210">
        <f t="shared" si="92"/>
        <v>2947.8055525599507</v>
      </c>
      <c r="N88" s="210">
        <f t="shared" si="92"/>
        <v>2936.9029357956642</v>
      </c>
      <c r="O88" s="210">
        <f t="shared" si="92"/>
        <v>3398.4618008453472</v>
      </c>
      <c r="P88" s="385">
        <f t="shared" si="92"/>
        <v>11972.207363926975</v>
      </c>
      <c r="Q88" s="385">
        <f t="shared" si="92"/>
        <v>2763.6539759607381</v>
      </c>
      <c r="R88" s="210">
        <f t="shared" si="92"/>
        <v>3091.3642282626693</v>
      </c>
      <c r="S88" s="210">
        <f t="shared" si="92"/>
        <v>3287.5999999999995</v>
      </c>
      <c r="T88" s="210">
        <f t="shared" ref="T88:U88" si="93">+T85+T86+T87</f>
        <v>3883.7489999999998</v>
      </c>
      <c r="U88" s="385">
        <f t="shared" si="93"/>
        <v>13026.367204223407</v>
      </c>
    </row>
    <row r="89" spans="1:21">
      <c r="A89" s="175"/>
      <c r="B89" s="174"/>
      <c r="C89" s="174"/>
      <c r="D89" s="174"/>
      <c r="E89" s="174"/>
      <c r="F89" s="186"/>
      <c r="G89" s="186"/>
      <c r="H89" s="174"/>
      <c r="I89" s="174"/>
      <c r="J89" s="174"/>
      <c r="K89" s="186"/>
      <c r="L89" s="186"/>
      <c r="M89" s="174"/>
      <c r="N89" s="174"/>
      <c r="O89" s="174"/>
      <c r="P89" s="186"/>
      <c r="Q89" s="186"/>
      <c r="R89" s="174"/>
      <c r="S89" s="174"/>
      <c r="T89" s="174"/>
      <c r="U89" s="186"/>
    </row>
    <row r="90" spans="1:21">
      <c r="A90" s="175" t="s">
        <v>7</v>
      </c>
      <c r="B90" s="174">
        <v>6.6971904599999998</v>
      </c>
      <c r="C90" s="174">
        <v>23.170188339999999</v>
      </c>
      <c r="D90" s="174">
        <v>7.2344124499999998</v>
      </c>
      <c r="E90" s="174">
        <v>20.557442420000001</v>
      </c>
      <c r="F90" s="186">
        <f t="shared" ref="F90:F97" si="94">+B90+C90+D90+E90</f>
        <v>57.659233669999999</v>
      </c>
      <c r="G90" s="186">
        <v>0</v>
      </c>
      <c r="H90" s="174">
        <v>6.9857551900000008</v>
      </c>
      <c r="I90" s="174">
        <v>3.1539097999999997</v>
      </c>
      <c r="J90" s="174">
        <v>0.63127465999999999</v>
      </c>
      <c r="K90" s="186">
        <f t="shared" ref="K90:K97" si="95">+G90+H90+I90+J90</f>
        <v>10.770939650000001</v>
      </c>
      <c r="L90" s="186">
        <v>4.8190280699999999</v>
      </c>
      <c r="M90" s="174">
        <v>0</v>
      </c>
      <c r="N90" s="174">
        <v>11.042806240000001</v>
      </c>
      <c r="O90" s="174">
        <v>0</v>
      </c>
      <c r="P90" s="186">
        <f t="shared" ref="P90:P97" si="96">+L90+M90+N90+O90</f>
        <v>15.861834310000001</v>
      </c>
      <c r="Q90" s="186">
        <v>1.3852273400000001</v>
      </c>
      <c r="R90" s="174">
        <v>11.297729619999998</v>
      </c>
      <c r="S90" s="174">
        <f>+S15+S53</f>
        <v>6.2</v>
      </c>
      <c r="T90" s="174">
        <f>+T15+T53</f>
        <v>1</v>
      </c>
      <c r="U90" s="186">
        <f t="shared" ref="U90:U97" si="97">+Q90+R90+S90+T90</f>
        <v>19.882956959999998</v>
      </c>
    </row>
    <row r="91" spans="1:21" ht="4.5" customHeight="1">
      <c r="A91" s="175"/>
      <c r="B91" s="174"/>
      <c r="C91" s="174"/>
      <c r="D91" s="174"/>
      <c r="E91" s="174"/>
      <c r="F91" s="186">
        <f t="shared" si="94"/>
        <v>0</v>
      </c>
      <c r="G91" s="186"/>
      <c r="H91" s="174"/>
      <c r="I91" s="174"/>
      <c r="J91" s="174"/>
      <c r="K91" s="186">
        <f t="shared" si="95"/>
        <v>0</v>
      </c>
      <c r="L91" s="186"/>
      <c r="M91" s="174"/>
      <c r="N91" s="174"/>
      <c r="O91" s="174"/>
      <c r="P91" s="186">
        <f t="shared" si="96"/>
        <v>0</v>
      </c>
      <c r="Q91" s="186"/>
      <c r="R91" s="174"/>
      <c r="S91" s="174"/>
      <c r="T91" s="174"/>
      <c r="U91" s="186">
        <f t="shared" si="97"/>
        <v>0</v>
      </c>
    </row>
    <row r="92" spans="1:21">
      <c r="A92" s="175" t="s">
        <v>8</v>
      </c>
      <c r="B92" s="174">
        <f t="shared" ref="B92:S92" si="98">+B83-B88+B90</f>
        <v>132.72535158580104</v>
      </c>
      <c r="C92" s="174">
        <f t="shared" si="98"/>
        <v>224.58015455098339</v>
      </c>
      <c r="D92" s="174">
        <f t="shared" si="98"/>
        <v>200.61475605663961</v>
      </c>
      <c r="E92" s="174">
        <f t="shared" si="98"/>
        <v>324.33830540883548</v>
      </c>
      <c r="F92" s="186">
        <f t="shared" si="94"/>
        <v>882.25856760225952</v>
      </c>
      <c r="G92" s="186">
        <f t="shared" si="98"/>
        <v>175.70754233519278</v>
      </c>
      <c r="H92" s="174">
        <f t="shared" si="98"/>
        <v>250.40110385139727</v>
      </c>
      <c r="I92" s="174">
        <f t="shared" si="98"/>
        <v>275.030199790013</v>
      </c>
      <c r="J92" s="174">
        <f t="shared" si="98"/>
        <v>336.74283723888885</v>
      </c>
      <c r="K92" s="186">
        <f t="shared" si="95"/>
        <v>1037.8816832154919</v>
      </c>
      <c r="L92" s="186">
        <f t="shared" si="98"/>
        <v>162.51585167409888</v>
      </c>
      <c r="M92" s="174">
        <f t="shared" si="98"/>
        <v>259.73118441868928</v>
      </c>
      <c r="N92" s="174">
        <f t="shared" si="98"/>
        <v>267.62686285568532</v>
      </c>
      <c r="O92" s="174">
        <f t="shared" si="98"/>
        <v>425.36920687261272</v>
      </c>
      <c r="P92" s="186">
        <f t="shared" si="96"/>
        <v>1115.2431058210861</v>
      </c>
      <c r="Q92" s="186">
        <f t="shared" si="98"/>
        <v>218.9350123334618</v>
      </c>
      <c r="R92" s="174">
        <f t="shared" si="98"/>
        <v>262.14830311263069</v>
      </c>
      <c r="S92" s="174">
        <f t="shared" si="98"/>
        <v>268.60000000000053</v>
      </c>
      <c r="T92" s="174">
        <f t="shared" ref="T92" si="99">+T83-T88+T90</f>
        <v>453.45100000000002</v>
      </c>
      <c r="U92" s="186">
        <f t="shared" si="97"/>
        <v>1203.1343154460931</v>
      </c>
    </row>
    <row r="93" spans="1:21" ht="3.75" customHeight="1">
      <c r="A93" s="175"/>
      <c r="B93" s="174"/>
      <c r="C93" s="174"/>
      <c r="D93" s="174"/>
      <c r="E93" s="174"/>
      <c r="F93" s="186">
        <f t="shared" si="94"/>
        <v>0</v>
      </c>
      <c r="G93" s="186"/>
      <c r="H93" s="174"/>
      <c r="I93" s="174"/>
      <c r="J93" s="174"/>
      <c r="K93" s="186">
        <f t="shared" si="95"/>
        <v>0</v>
      </c>
      <c r="L93" s="186"/>
      <c r="M93" s="174"/>
      <c r="N93" s="174"/>
      <c r="O93" s="174"/>
      <c r="P93" s="186">
        <f t="shared" si="96"/>
        <v>0</v>
      </c>
      <c r="Q93" s="186"/>
      <c r="R93" s="174"/>
      <c r="S93" s="174"/>
      <c r="T93" s="174"/>
      <c r="U93" s="186">
        <f t="shared" si="97"/>
        <v>0</v>
      </c>
    </row>
    <row r="94" spans="1:21">
      <c r="A94" s="175" t="s">
        <v>170</v>
      </c>
      <c r="B94" s="174">
        <v>14.999986054773601</v>
      </c>
      <c r="C94" s="174">
        <v>9.2638227898907495</v>
      </c>
      <c r="D94" s="174">
        <v>43.300289809219706</v>
      </c>
      <c r="E94" s="174">
        <v>34.149629718176605</v>
      </c>
      <c r="F94" s="186">
        <f t="shared" si="94"/>
        <v>101.71372837206067</v>
      </c>
      <c r="G94" s="186">
        <v>15.450741056463899</v>
      </c>
      <c r="H94" s="174">
        <v>6.6935885253223093</v>
      </c>
      <c r="I94" s="174">
        <v>17.241218441804598</v>
      </c>
      <c r="J94" s="174">
        <v>123.46357053164201</v>
      </c>
      <c r="K94" s="186">
        <f t="shared" si="95"/>
        <v>162.84911855523282</v>
      </c>
      <c r="L94" s="186">
        <v>57.300698412735301</v>
      </c>
      <c r="M94" s="174">
        <v>34.929727195847306</v>
      </c>
      <c r="N94" s="174">
        <v>24.671705796242598</v>
      </c>
      <c r="O94" s="174">
        <v>80.448645752735089</v>
      </c>
      <c r="P94" s="186">
        <f t="shared" si="96"/>
        <v>197.35077715756029</v>
      </c>
      <c r="Q94" s="186">
        <v>15.018373069476999</v>
      </c>
      <c r="R94" s="174">
        <v>75.383314097521207</v>
      </c>
      <c r="S94" s="174">
        <f t="shared" ref="S94:T97" si="100">+S19</f>
        <v>67.8</v>
      </c>
      <c r="T94" s="174">
        <f t="shared" si="100"/>
        <v>52</v>
      </c>
      <c r="U94" s="186">
        <f t="shared" si="97"/>
        <v>210.2016871669982</v>
      </c>
    </row>
    <row r="95" spans="1:21">
      <c r="A95" s="175" t="s">
        <v>195</v>
      </c>
      <c r="B95" s="174">
        <v>4.8005241338953901</v>
      </c>
      <c r="C95" s="174">
        <v>6.3647557939146004</v>
      </c>
      <c r="D95" s="174">
        <v>-0.11298865078200601</v>
      </c>
      <c r="E95" s="174">
        <v>1.1305789277691598</v>
      </c>
      <c r="F95" s="186">
        <f t="shared" si="94"/>
        <v>12.182870204797144</v>
      </c>
      <c r="G95" s="186">
        <v>1.0867700982133299</v>
      </c>
      <c r="H95" s="174">
        <v>-1.0689328981465298</v>
      </c>
      <c r="I95" s="174">
        <v>-4.9448612584102394</v>
      </c>
      <c r="J95" s="174">
        <v>1.13261388128939</v>
      </c>
      <c r="K95" s="186">
        <f t="shared" si="95"/>
        <v>-3.7944101770540497</v>
      </c>
      <c r="L95" s="186">
        <v>3.2153029576713497</v>
      </c>
      <c r="M95" s="174">
        <v>3.8820061525067899</v>
      </c>
      <c r="N95" s="174">
        <v>1.3554421880635601</v>
      </c>
      <c r="O95" s="174">
        <v>-3.7643574554201602</v>
      </c>
      <c r="P95" s="186">
        <f t="shared" si="96"/>
        <v>4.6883938428215384</v>
      </c>
      <c r="Q95" s="186">
        <v>4.1145224282832</v>
      </c>
      <c r="R95" s="174">
        <v>3.1863974219257702</v>
      </c>
      <c r="S95" s="174">
        <f t="shared" si="100"/>
        <v>1.8</v>
      </c>
      <c r="T95" s="174">
        <f t="shared" si="100"/>
        <v>0.3</v>
      </c>
      <c r="U95" s="186">
        <f t="shared" si="97"/>
        <v>9.4009198502089717</v>
      </c>
    </row>
    <row r="96" spans="1:21">
      <c r="A96" s="175" t="s">
        <v>11</v>
      </c>
      <c r="B96" s="174">
        <v>1.5768492262559701</v>
      </c>
      <c r="C96" s="174">
        <v>1.14612861913218</v>
      </c>
      <c r="D96" s="174">
        <v>1.59791437692774</v>
      </c>
      <c r="E96" s="174">
        <v>1.9120565081390202</v>
      </c>
      <c r="F96" s="186">
        <f t="shared" si="94"/>
        <v>6.2329487304549103</v>
      </c>
      <c r="G96" s="186">
        <v>2.29743926781111</v>
      </c>
      <c r="H96" s="174">
        <v>1.4010934844382301</v>
      </c>
      <c r="I96" s="174">
        <v>1.1579735964323401</v>
      </c>
      <c r="J96" s="174">
        <v>1.4548280659778501</v>
      </c>
      <c r="K96" s="186">
        <f t="shared" si="95"/>
        <v>6.3113344146595303</v>
      </c>
      <c r="L96" s="186">
        <v>1.4589228530324501</v>
      </c>
      <c r="M96" s="174">
        <v>3.0661842863184101</v>
      </c>
      <c r="N96" s="174">
        <v>1.0196352673770899</v>
      </c>
      <c r="O96" s="174">
        <v>2.5056449187428003</v>
      </c>
      <c r="P96" s="186">
        <f t="shared" si="96"/>
        <v>8.0503873254707514</v>
      </c>
      <c r="Q96" s="186">
        <v>2.4109891997297002</v>
      </c>
      <c r="R96" s="174">
        <v>1.4273683099951999</v>
      </c>
      <c r="S96" s="174">
        <f t="shared" si="100"/>
        <v>3.1</v>
      </c>
      <c r="T96" s="174">
        <f t="shared" si="100"/>
        <v>2.9</v>
      </c>
      <c r="U96" s="186">
        <f t="shared" si="97"/>
        <v>9.8383575097249008</v>
      </c>
    </row>
    <row r="97" spans="1:21">
      <c r="A97" s="175" t="s">
        <v>12</v>
      </c>
      <c r="B97" s="174">
        <v>28.015263369092597</v>
      </c>
      <c r="C97" s="174">
        <v>28.468798514798102</v>
      </c>
      <c r="D97" s="174">
        <v>27.842222032849502</v>
      </c>
      <c r="E97" s="174">
        <v>27.708182963001502</v>
      </c>
      <c r="F97" s="186">
        <f t="shared" si="94"/>
        <v>112.03446687974171</v>
      </c>
      <c r="G97" s="186">
        <v>26.213848466746402</v>
      </c>
      <c r="H97" s="174">
        <v>26.1540307579527</v>
      </c>
      <c r="I97" s="174">
        <v>30.698739138691501</v>
      </c>
      <c r="J97" s="174">
        <v>35.813845245027998</v>
      </c>
      <c r="K97" s="186">
        <f t="shared" si="95"/>
        <v>118.88046360841861</v>
      </c>
      <c r="L97" s="186">
        <v>34.788856795883603</v>
      </c>
      <c r="M97" s="174">
        <v>36.988799288212903</v>
      </c>
      <c r="N97" s="174">
        <v>37.272195935232496</v>
      </c>
      <c r="O97" s="174">
        <v>35.799103357609098</v>
      </c>
      <c r="P97" s="186">
        <f t="shared" si="96"/>
        <v>144.84895537693808</v>
      </c>
      <c r="Q97" s="186">
        <v>34.009498612018696</v>
      </c>
      <c r="R97" s="174">
        <v>35.431171968104302</v>
      </c>
      <c r="S97" s="174">
        <f t="shared" si="100"/>
        <v>34.5</v>
      </c>
      <c r="T97" s="174">
        <f t="shared" si="100"/>
        <v>32.9</v>
      </c>
      <c r="U97" s="186">
        <f t="shared" si="97"/>
        <v>136.840670580123</v>
      </c>
    </row>
    <row r="98" spans="1:21" s="19" customFormat="1">
      <c r="A98" s="363" t="s">
        <v>171</v>
      </c>
      <c r="B98" s="164">
        <f>+B92+B94+B95+B96-B97</f>
        <v>126.08744763163341</v>
      </c>
      <c r="C98" s="164">
        <f>+C92+C94+C95+C96-C97</f>
        <v>212.88606323912285</v>
      </c>
      <c r="D98" s="164">
        <f>+D92+D94+D95+D96-D97</f>
        <v>217.55774955915558</v>
      </c>
      <c r="E98" s="164">
        <f>+E92+E94+E95+E96-E97</f>
        <v>333.82238759991873</v>
      </c>
      <c r="F98" s="187">
        <f>+B98+C98+D98+E98</f>
        <v>890.35364802983054</v>
      </c>
      <c r="G98" s="187">
        <f>+G92+G94+G95+G96-G97</f>
        <v>168.3286442909347</v>
      </c>
      <c r="H98" s="164">
        <f>+H92+H94+H95+H96-H97</f>
        <v>231.27282220505853</v>
      </c>
      <c r="I98" s="164">
        <f>+I92+I94+I95+I96-I97</f>
        <v>257.7857914311482</v>
      </c>
      <c r="J98" s="164">
        <f>+J92+J94+J95+J96-J97</f>
        <v>426.98000447277008</v>
      </c>
      <c r="K98" s="187">
        <f>+G98+H98+I98+J98</f>
        <v>1084.3672623999116</v>
      </c>
      <c r="L98" s="187">
        <f>+L92+L94+L95+L96-L97</f>
        <v>189.70191910165437</v>
      </c>
      <c r="M98" s="164">
        <f>+M92+M94+M95+M96-M97</f>
        <v>264.62030276514884</v>
      </c>
      <c r="N98" s="164">
        <f>+N92+N94+N95+N96-N97</f>
        <v>257.40145017213604</v>
      </c>
      <c r="O98" s="164">
        <f>+O92+O94+O95+O96-O97</f>
        <v>468.76003673106135</v>
      </c>
      <c r="P98" s="187">
        <f>+L98+M98+N98+O98</f>
        <v>1180.4837087700005</v>
      </c>
      <c r="Q98" s="187">
        <f>+Q92+Q94+Q95+Q96-Q97</f>
        <v>206.46939841893303</v>
      </c>
      <c r="R98" s="164">
        <f>+R92+R94+R95+R96-R97</f>
        <v>306.71421097396859</v>
      </c>
      <c r="S98" s="164">
        <f>+S92+S94+S95+S96-S97</f>
        <v>306.80000000000058</v>
      </c>
      <c r="T98" s="164">
        <f>+T92+T94+T95+T96-T97</f>
        <v>475.75100000000003</v>
      </c>
      <c r="U98" s="187">
        <f>+Q98+R98+S98+T98</f>
        <v>1295.7346093929023</v>
      </c>
    </row>
    <row r="99" spans="1:21">
      <c r="A99" s="175" t="s">
        <v>172</v>
      </c>
      <c r="B99" s="174">
        <v>43.434732012088098</v>
      </c>
      <c r="C99" s="174">
        <v>69.441906896356102</v>
      </c>
      <c r="D99" s="174">
        <v>82.393715435982799</v>
      </c>
      <c r="E99" s="174">
        <v>104.93522275987799</v>
      </c>
      <c r="F99" s="186">
        <f>+B99+C99+D99+E99</f>
        <v>300.20557710430501</v>
      </c>
      <c r="G99" s="186">
        <v>62.174592932391199</v>
      </c>
      <c r="H99" s="174">
        <v>83.135833443600291</v>
      </c>
      <c r="I99" s="174">
        <v>85.210337187835606</v>
      </c>
      <c r="J99" s="174">
        <v>152.931783548585</v>
      </c>
      <c r="K99" s="186">
        <f>+G99+H99+I99+J99</f>
        <v>383.45254711241205</v>
      </c>
      <c r="L99" s="186">
        <v>66.3846454066707</v>
      </c>
      <c r="M99" s="174">
        <v>87.923721589867995</v>
      </c>
      <c r="N99" s="174">
        <v>82.684967615637703</v>
      </c>
      <c r="O99" s="174">
        <v>152.85000677319701</v>
      </c>
      <c r="P99" s="186">
        <f>+L99+M99+N99+O99</f>
        <v>389.84334138537338</v>
      </c>
      <c r="Q99" s="186">
        <v>59.721918598344999</v>
      </c>
      <c r="R99" s="174">
        <v>83.158302821845197</v>
      </c>
      <c r="S99" s="174">
        <f>+S25+S63</f>
        <v>86.4</v>
      </c>
      <c r="T99" s="174">
        <f>+T25+T63</f>
        <v>135.6</v>
      </c>
      <c r="U99" s="186">
        <f>+Q99+R99+S99+T99</f>
        <v>364.8802214201902</v>
      </c>
    </row>
    <row r="100" spans="1:21" s="19" customFormat="1">
      <c r="A100" s="363" t="s">
        <v>216</v>
      </c>
      <c r="B100" s="390">
        <f t="shared" ref="B100:S100" si="101">B99/(B98-B102)</f>
        <v>0.34524406225860949</v>
      </c>
      <c r="C100" s="390">
        <f t="shared" si="101"/>
        <v>0.36907584158928697</v>
      </c>
      <c r="D100" s="390">
        <f t="shared" si="101"/>
        <v>0.38328947764890381</v>
      </c>
      <c r="E100" s="390">
        <f t="shared" si="101"/>
        <v>0.31566157559367769</v>
      </c>
      <c r="F100" s="391">
        <f t="shared" si="101"/>
        <v>0.34852761246103092</v>
      </c>
      <c r="G100" s="391">
        <f t="shared" si="101"/>
        <v>0.36980498499406095</v>
      </c>
      <c r="H100" s="390">
        <f t="shared" si="101"/>
        <v>0.37255918571707913</v>
      </c>
      <c r="I100" s="390">
        <f t="shared" si="101"/>
        <v>0.33166362050157949</v>
      </c>
      <c r="J100" s="390">
        <f t="shared" si="101"/>
        <v>0.36032388350259986</v>
      </c>
      <c r="K100" s="391">
        <f t="shared" ref="K100" si="102">K99/(K98-K102)</f>
        <v>0.35749062827989764</v>
      </c>
      <c r="L100" s="391">
        <f t="shared" si="101"/>
        <v>0.35456318813818644</v>
      </c>
      <c r="M100" s="390">
        <f t="shared" si="101"/>
        <v>0.33451062064636761</v>
      </c>
      <c r="N100" s="390">
        <f t="shared" si="101"/>
        <v>0.32980074091143929</v>
      </c>
      <c r="O100" s="390">
        <f t="shared" si="101"/>
        <v>0.32687566830725479</v>
      </c>
      <c r="P100" s="391">
        <f t="shared" si="101"/>
        <v>0.333657683758108</v>
      </c>
      <c r="Q100" s="391">
        <f t="shared" si="101"/>
        <v>0.29194817420223584</v>
      </c>
      <c r="R100" s="390">
        <f t="shared" si="101"/>
        <v>0.2722189123594424</v>
      </c>
      <c r="S100" s="390">
        <f t="shared" si="101"/>
        <v>0.28253760627861296</v>
      </c>
      <c r="T100" s="390">
        <f t="shared" ref="T100:U100" si="103">T99/(T98-T102)</f>
        <v>0.2864076747118498</v>
      </c>
      <c r="U100" s="391">
        <f t="shared" si="103"/>
        <v>0.28300697672871905</v>
      </c>
    </row>
    <row r="101" spans="1:21">
      <c r="A101" s="175" t="s">
        <v>173</v>
      </c>
      <c r="B101" s="174">
        <f>+B98-B99</f>
        <v>82.652715619545319</v>
      </c>
      <c r="C101" s="174">
        <f>+C98-C99</f>
        <v>143.44415634276675</v>
      </c>
      <c r="D101" s="174">
        <f>+D98-D99</f>
        <v>135.16403412317277</v>
      </c>
      <c r="E101" s="174">
        <f>+E98-E99</f>
        <v>228.88716484004073</v>
      </c>
      <c r="F101" s="186">
        <f>+B101+C101+D101+E101</f>
        <v>590.14807092552564</v>
      </c>
      <c r="G101" s="385">
        <f>+G98-G99</f>
        <v>106.15405135854351</v>
      </c>
      <c r="H101" s="174">
        <f>+H98-H99</f>
        <v>148.13698876145824</v>
      </c>
      <c r="I101" s="174">
        <f>+I98-I99</f>
        <v>172.57545424331261</v>
      </c>
      <c r="J101" s="174">
        <f>+J98-J99</f>
        <v>274.0482209241851</v>
      </c>
      <c r="K101" s="186">
        <f>+G101+H101+I101+J101</f>
        <v>700.91471528749946</v>
      </c>
      <c r="L101" s="385">
        <f>+L98-L99</f>
        <v>123.31727369498367</v>
      </c>
      <c r="M101" s="174">
        <f>+M98-M99</f>
        <v>176.69658117528084</v>
      </c>
      <c r="N101" s="174">
        <f>+N98-N99</f>
        <v>174.71648255649833</v>
      </c>
      <c r="O101" s="174">
        <f>+O98-O99</f>
        <v>315.91002995786437</v>
      </c>
      <c r="P101" s="186">
        <f>+L101+M101+N101+O101</f>
        <v>790.64036738462721</v>
      </c>
      <c r="Q101" s="385">
        <f>+Q98-Q99</f>
        <v>146.74747982058801</v>
      </c>
      <c r="R101" s="174">
        <f>+R98-R99</f>
        <v>223.55590815212338</v>
      </c>
      <c r="S101" s="174">
        <f>+S98-S99</f>
        <v>220.40000000000057</v>
      </c>
      <c r="T101" s="174">
        <f>+T98-T99</f>
        <v>340.15100000000007</v>
      </c>
      <c r="U101" s="186">
        <f>+Q101+R101+S101+T101</f>
        <v>930.85438797271206</v>
      </c>
    </row>
    <row r="102" spans="1:21" s="19" customFormat="1">
      <c r="A102" s="363" t="s">
        <v>164</v>
      </c>
      <c r="B102" s="164">
        <v>0.27867418616063699</v>
      </c>
      <c r="C102" s="164">
        <v>24.735284804721601</v>
      </c>
      <c r="D102" s="164">
        <v>2.5930290523847299</v>
      </c>
      <c r="E102" s="164">
        <v>1.39287804519388</v>
      </c>
      <c r="F102" s="187">
        <f>+B102+C102+D102+E102</f>
        <v>28.999866088460845</v>
      </c>
      <c r="G102" s="187">
        <v>0.20058908532484901</v>
      </c>
      <c r="H102" s="164">
        <v>8.1248322190230997</v>
      </c>
      <c r="I102" s="164">
        <v>0.86784227841677197</v>
      </c>
      <c r="J102" s="164">
        <v>2.5513430640918102</v>
      </c>
      <c r="K102" s="187">
        <f>+G102+H102+I102+J102</f>
        <v>11.74460664685653</v>
      </c>
      <c r="L102" s="187">
        <v>2.4725404533606898</v>
      </c>
      <c r="M102" s="164">
        <v>1.7774626186240399</v>
      </c>
      <c r="N102" s="164">
        <v>6.6895585398460806</v>
      </c>
      <c r="O102" s="164">
        <v>1.1510294141817801</v>
      </c>
      <c r="P102" s="187">
        <f>+L102+M102+N102+O102</f>
        <v>12.090591026012591</v>
      </c>
      <c r="Q102" s="187">
        <v>1.90597286733172</v>
      </c>
      <c r="R102" s="164">
        <v>1.2310169479723501</v>
      </c>
      <c r="S102" s="164">
        <f>+S28+S66</f>
        <v>1</v>
      </c>
      <c r="T102" s="164">
        <f>+T28+T66</f>
        <v>2.2999999999999998</v>
      </c>
      <c r="U102" s="187">
        <f>+Q102+R102+S102+T102</f>
        <v>6.4369898153040701</v>
      </c>
    </row>
    <row r="103" spans="1:21" s="21" customFormat="1" ht="20.55" customHeight="1" thickBot="1">
      <c r="A103" s="392" t="s">
        <v>252</v>
      </c>
      <c r="B103" s="393">
        <f t="shared" ref="B103:R103" si="104">+B101-B102</f>
        <v>82.374041433384676</v>
      </c>
      <c r="C103" s="393">
        <f t="shared" si="104"/>
        <v>118.70887153804514</v>
      </c>
      <c r="D103" s="393">
        <f t="shared" si="104"/>
        <v>132.57100507078803</v>
      </c>
      <c r="E103" s="393">
        <f t="shared" si="104"/>
        <v>227.49428679484686</v>
      </c>
      <c r="F103" s="396">
        <f t="shared" si="104"/>
        <v>561.14820483706478</v>
      </c>
      <c r="G103" s="396">
        <f t="shared" si="104"/>
        <v>105.95346227321866</v>
      </c>
      <c r="H103" s="393">
        <f t="shared" si="104"/>
        <v>140.01215654243515</v>
      </c>
      <c r="I103" s="393">
        <f t="shared" si="104"/>
        <v>171.70761196489585</v>
      </c>
      <c r="J103" s="393">
        <f t="shared" si="104"/>
        <v>271.49687786009326</v>
      </c>
      <c r="K103" s="396">
        <f t="shared" ref="K103" si="105">+K101-K102</f>
        <v>689.17010864064298</v>
      </c>
      <c r="L103" s="396">
        <f t="shared" si="104"/>
        <v>120.84473324162298</v>
      </c>
      <c r="M103" s="393">
        <f t="shared" si="104"/>
        <v>174.9191185566568</v>
      </c>
      <c r="N103" s="393">
        <f t="shared" si="104"/>
        <v>168.02692401665226</v>
      </c>
      <c r="O103" s="393">
        <f t="shared" si="104"/>
        <v>314.75900054368259</v>
      </c>
      <c r="P103" s="396">
        <f t="shared" si="104"/>
        <v>778.54977635861462</v>
      </c>
      <c r="Q103" s="396">
        <f t="shared" si="104"/>
        <v>144.8415069532563</v>
      </c>
      <c r="R103" s="393">
        <f t="shared" si="104"/>
        <v>222.32489120415102</v>
      </c>
      <c r="S103" s="393">
        <f>+S101-S102</f>
        <v>219.40000000000057</v>
      </c>
      <c r="T103" s="393">
        <f>+T101-T102</f>
        <v>337.85100000000006</v>
      </c>
      <c r="U103" s="396">
        <f t="shared" ref="U103" si="106">+U101-U102</f>
        <v>924.417398157408</v>
      </c>
    </row>
    <row r="104" spans="1:21" ht="3.75" customHeight="1" thickTop="1">
      <c r="A104" s="175"/>
      <c r="B104" s="206">
        <v>5.3698219375064582E-5</v>
      </c>
      <c r="C104" s="206">
        <v>3.3578899211761382E-4</v>
      </c>
      <c r="D104" s="206">
        <v>-6.726529429670336E-4</v>
      </c>
      <c r="E104" s="206">
        <v>-7.3096336080880064E-5</v>
      </c>
      <c r="F104" s="386">
        <v>-3.5626207625227835E-4</v>
      </c>
      <c r="G104" s="386">
        <v>5.9570532165764689E-4</v>
      </c>
      <c r="H104" s="206">
        <v>-3.7846296578436522E-4</v>
      </c>
      <c r="I104" s="206">
        <v>-6.0198789014975773E-4</v>
      </c>
      <c r="J104" s="206">
        <v>4.5360336525845923E-4</v>
      </c>
      <c r="K104" s="386">
        <v>-3.5626207625227835E-4</v>
      </c>
      <c r="L104" s="386">
        <v>1.1912857898721541E-4</v>
      </c>
      <c r="M104" s="206">
        <v>1.9312967984319585E-4</v>
      </c>
      <c r="N104" s="206">
        <v>-2.2935602774509789E-4</v>
      </c>
      <c r="O104" s="206">
        <v>1.6916811685518951E-3</v>
      </c>
      <c r="P104" s="386">
        <v>-3.5626207625227835E-4</v>
      </c>
      <c r="Q104" s="386">
        <v>2.4549112310978671E-5</v>
      </c>
      <c r="R104" s="206">
        <v>-2.5536235804679563E-4</v>
      </c>
      <c r="S104" s="206"/>
      <c r="T104" s="206"/>
      <c r="U104" s="386">
        <v>-3.5626207625227835E-4</v>
      </c>
    </row>
    <row r="105" spans="1:21" ht="15" customHeight="1">
      <c r="A105" s="175" t="s">
        <v>175</v>
      </c>
      <c r="B105" s="174">
        <v>1.5768492262559701</v>
      </c>
      <c r="C105" s="174">
        <v>1.14612861913218</v>
      </c>
      <c r="D105" s="174">
        <v>1.59791437692774</v>
      </c>
      <c r="E105" s="174">
        <v>1.9120565081390202</v>
      </c>
      <c r="F105" s="186">
        <f>+B105+C105+D105+E105</f>
        <v>6.2329487304549103</v>
      </c>
      <c r="G105" s="186">
        <v>2.29743926781111</v>
      </c>
      <c r="H105" s="174">
        <v>1.4010934844382301</v>
      </c>
      <c r="I105" s="174">
        <v>1.1579735964323401</v>
      </c>
      <c r="J105" s="174">
        <v>1.4548280659778501</v>
      </c>
      <c r="K105" s="186">
        <f>+G105+H105+I105+J105</f>
        <v>6.3113344146595303</v>
      </c>
      <c r="L105" s="186">
        <v>1.4589228530324501</v>
      </c>
      <c r="M105" s="174">
        <v>3.0661842863184101</v>
      </c>
      <c r="N105" s="174">
        <v>1.0196352673770899</v>
      </c>
      <c r="O105" s="174">
        <v>2.5056449187428003</v>
      </c>
      <c r="P105" s="186">
        <f>+L105+M105+N105+O105</f>
        <v>8.0503873254707514</v>
      </c>
      <c r="Q105" s="186">
        <v>2.4109891997297002</v>
      </c>
      <c r="R105" s="174">
        <v>1.4273683099951999</v>
      </c>
      <c r="S105" s="174">
        <f>+S96</f>
        <v>3.1</v>
      </c>
      <c r="T105" s="174">
        <f>+T96</f>
        <v>2.9</v>
      </c>
      <c r="U105" s="186">
        <f>+Q105+R105+S105+T105</f>
        <v>9.8383575097249008</v>
      </c>
    </row>
    <row r="106" spans="1:21" ht="15" customHeight="1">
      <c r="A106" s="175" t="s">
        <v>165</v>
      </c>
      <c r="B106" s="174"/>
      <c r="C106" s="174"/>
      <c r="D106" s="174"/>
      <c r="E106" s="174"/>
      <c r="F106" s="186"/>
      <c r="G106" s="186"/>
      <c r="H106" s="174"/>
      <c r="I106" s="174"/>
      <c r="J106" s="174"/>
      <c r="K106" s="186"/>
      <c r="L106" s="186"/>
      <c r="M106" s="174"/>
      <c r="N106" s="174"/>
      <c r="O106" s="174"/>
      <c r="P106" s="186"/>
      <c r="Q106" s="186"/>
      <c r="R106" s="174"/>
      <c r="S106" s="174"/>
      <c r="T106" s="174"/>
      <c r="U106" s="186"/>
    </row>
    <row r="107" spans="1:21" ht="15" customHeight="1">
      <c r="A107" s="175" t="s">
        <v>12</v>
      </c>
      <c r="B107" s="174">
        <f>+B97</f>
        <v>28.015263369092597</v>
      </c>
      <c r="C107" s="174">
        <f>+C97</f>
        <v>28.468798514798102</v>
      </c>
      <c r="D107" s="174">
        <f>+D97</f>
        <v>27.842222032849502</v>
      </c>
      <c r="E107" s="174">
        <f>+E97</f>
        <v>27.708182963001502</v>
      </c>
      <c r="F107" s="186">
        <f>+B107+C107+D107+E107</f>
        <v>112.03446687974171</v>
      </c>
      <c r="G107" s="186">
        <f>+G97</f>
        <v>26.213848466746402</v>
      </c>
      <c r="H107" s="174">
        <f>+H97</f>
        <v>26.1540307579527</v>
      </c>
      <c r="I107" s="174">
        <f>+I97</f>
        <v>30.698739138691501</v>
      </c>
      <c r="J107" s="174">
        <f>+J97</f>
        <v>35.813845245027998</v>
      </c>
      <c r="K107" s="186">
        <f>+G107+H107+I107+J107</f>
        <v>118.88046360841861</v>
      </c>
      <c r="L107" s="186">
        <f>+L97</f>
        <v>34.788856795883603</v>
      </c>
      <c r="M107" s="174">
        <f>+M97</f>
        <v>36.988799288212903</v>
      </c>
      <c r="N107" s="174">
        <f>+N97</f>
        <v>37.272195935232496</v>
      </c>
      <c r="O107" s="174">
        <f>+O97</f>
        <v>35.799103357609098</v>
      </c>
      <c r="P107" s="186">
        <f>+L107+M107+N107+O107</f>
        <v>144.84895537693808</v>
      </c>
      <c r="Q107" s="186">
        <f>+Q97</f>
        <v>34.009498612018696</v>
      </c>
      <c r="R107" s="174">
        <f>+R97</f>
        <v>35.431171968104302</v>
      </c>
      <c r="S107" s="174">
        <f>+S97</f>
        <v>34.5</v>
      </c>
      <c r="T107" s="174">
        <f>+T97</f>
        <v>32.9</v>
      </c>
      <c r="U107" s="186">
        <f>+Q107+R107+S107+T107</f>
        <v>136.840670580123</v>
      </c>
    </row>
    <row r="108" spans="1:21" ht="15" customHeight="1">
      <c r="A108" s="175" t="s">
        <v>172</v>
      </c>
      <c r="B108" s="174">
        <f>+B99</f>
        <v>43.434732012088098</v>
      </c>
      <c r="C108" s="174">
        <f>+C99</f>
        <v>69.441906896356102</v>
      </c>
      <c r="D108" s="174">
        <f>+D99</f>
        <v>82.393715435982799</v>
      </c>
      <c r="E108" s="174">
        <f>+E99</f>
        <v>104.93522275987799</v>
      </c>
      <c r="F108" s="186">
        <f>+B108+C108+D108+E108</f>
        <v>300.20557710430501</v>
      </c>
      <c r="G108" s="186">
        <f>+G99</f>
        <v>62.174592932391199</v>
      </c>
      <c r="H108" s="174">
        <f>+H99</f>
        <v>83.135833443600291</v>
      </c>
      <c r="I108" s="174">
        <f>+I99</f>
        <v>85.210337187835606</v>
      </c>
      <c r="J108" s="174">
        <f>+J99</f>
        <v>152.931783548585</v>
      </c>
      <c r="K108" s="186">
        <f>+G108+H108+I108+J108</f>
        <v>383.45254711241205</v>
      </c>
      <c r="L108" s="186">
        <f>+L99</f>
        <v>66.3846454066707</v>
      </c>
      <c r="M108" s="174">
        <f>+M99</f>
        <v>87.923721589867995</v>
      </c>
      <c r="N108" s="174">
        <f>+N99</f>
        <v>82.684967615637703</v>
      </c>
      <c r="O108" s="174">
        <f>+O99</f>
        <v>152.85000677319701</v>
      </c>
      <c r="P108" s="186">
        <f>+L108+M108+N108+O108</f>
        <v>389.84334138537338</v>
      </c>
      <c r="Q108" s="186">
        <f>+Q99</f>
        <v>59.721918598344999</v>
      </c>
      <c r="R108" s="174">
        <f>+R99</f>
        <v>83.158302821845197</v>
      </c>
      <c r="S108" s="174">
        <f>+S99</f>
        <v>86.4</v>
      </c>
      <c r="T108" s="174">
        <f>+T99</f>
        <v>135.6</v>
      </c>
      <c r="U108" s="186">
        <f>+Q108+R108+S108+T108</f>
        <v>364.8802214201902</v>
      </c>
    </row>
    <row r="109" spans="1:21" s="19" customFormat="1" ht="15" customHeight="1">
      <c r="A109" s="363" t="s">
        <v>169</v>
      </c>
      <c r="B109" s="164">
        <f>+B87</f>
        <v>46.521766461531499</v>
      </c>
      <c r="C109" s="164">
        <f>+C87</f>
        <v>47.287314906092398</v>
      </c>
      <c r="D109" s="164">
        <f>+D87</f>
        <v>50.980281426814102</v>
      </c>
      <c r="E109" s="164">
        <f>+E87</f>
        <v>54.180182211291502</v>
      </c>
      <c r="F109" s="187">
        <f>+B109+C109+D109+E109</f>
        <v>198.96954500572949</v>
      </c>
      <c r="G109" s="187">
        <f>+G87</f>
        <v>54.685038588435098</v>
      </c>
      <c r="H109" s="164">
        <f>+H87</f>
        <v>55.878643797031302</v>
      </c>
      <c r="I109" s="164">
        <f>+I87</f>
        <v>58.1718559497751</v>
      </c>
      <c r="J109" s="164">
        <f>+J87</f>
        <v>58.797109393714003</v>
      </c>
      <c r="K109" s="187">
        <f>+G109+H109+I109+J109</f>
        <v>227.53264772895551</v>
      </c>
      <c r="L109" s="187">
        <f>+L87</f>
        <v>62.123196839261304</v>
      </c>
      <c r="M109" s="164">
        <f>+M87</f>
        <v>63.686033517489797</v>
      </c>
      <c r="N109" s="164">
        <f>+N87</f>
        <v>62.419600855180597</v>
      </c>
      <c r="O109" s="164">
        <f>+O87</f>
        <v>67.592956308733193</v>
      </c>
      <c r="P109" s="187">
        <f>+L109+M109+N109+O109</f>
        <v>255.82178752066488</v>
      </c>
      <c r="Q109" s="187">
        <f>+Q87</f>
        <v>67.046231692489201</v>
      </c>
      <c r="R109" s="164">
        <f>+R87</f>
        <v>73.061825130598805</v>
      </c>
      <c r="S109" s="164">
        <f>+S87</f>
        <v>74.45</v>
      </c>
      <c r="T109" s="164">
        <f>+T87</f>
        <v>78.699999999999989</v>
      </c>
      <c r="U109" s="187">
        <f>+Q109+R109+S109+T109</f>
        <v>293.258056823088</v>
      </c>
    </row>
    <row r="110" spans="1:21" s="9" customFormat="1" ht="15" customHeight="1">
      <c r="A110" s="362" t="s">
        <v>17</v>
      </c>
      <c r="B110" s="177">
        <f t="shared" ref="B110:R110" si="107">+B103-B105+B107+B108+B109</f>
        <v>198.76895404984089</v>
      </c>
      <c r="C110" s="177">
        <f t="shared" si="107"/>
        <v>262.76076323615956</v>
      </c>
      <c r="D110" s="177">
        <f t="shared" si="107"/>
        <v>292.18930958950665</v>
      </c>
      <c r="E110" s="177">
        <f t="shared" si="107"/>
        <v>412.40581822087881</v>
      </c>
      <c r="F110" s="378">
        <f t="shared" si="107"/>
        <v>1166.124845096386</v>
      </c>
      <c r="G110" s="378">
        <f t="shared" si="107"/>
        <v>246.72950299298026</v>
      </c>
      <c r="H110" s="177">
        <f t="shared" si="107"/>
        <v>303.77957105658123</v>
      </c>
      <c r="I110" s="177">
        <f t="shared" si="107"/>
        <v>344.63057064476573</v>
      </c>
      <c r="J110" s="177">
        <f t="shared" si="107"/>
        <v>517.58478798144245</v>
      </c>
      <c r="K110" s="378">
        <f t="shared" ref="K110" si="108">+K103-K105+K107+K108+K109</f>
        <v>1412.7244326757695</v>
      </c>
      <c r="L110" s="378">
        <f t="shared" si="107"/>
        <v>282.68250943040613</v>
      </c>
      <c r="M110" s="177">
        <f t="shared" si="107"/>
        <v>360.4514886659091</v>
      </c>
      <c r="N110" s="177">
        <f t="shared" si="107"/>
        <v>349.38405315532594</v>
      </c>
      <c r="O110" s="177">
        <f t="shared" si="107"/>
        <v>568.49542206447904</v>
      </c>
      <c r="P110" s="378">
        <f t="shared" si="107"/>
        <v>1561.0134733161201</v>
      </c>
      <c r="Q110" s="378">
        <f t="shared" si="107"/>
        <v>303.20816665637949</v>
      </c>
      <c r="R110" s="177">
        <f t="shared" si="107"/>
        <v>412.54882281470418</v>
      </c>
      <c r="S110" s="177">
        <f>+S103-S105+S107+S108+S109</f>
        <v>411.6500000000006</v>
      </c>
      <c r="T110" s="177">
        <f>+T103-T105+T107+T108+T109</f>
        <v>582.15100000000007</v>
      </c>
      <c r="U110" s="378">
        <f t="shared" ref="U110" si="109">+U103-U105+U107+U108+U109</f>
        <v>1709.5579894710843</v>
      </c>
    </row>
    <row r="111" spans="1:21" ht="3.75" customHeight="1">
      <c r="A111" s="175"/>
      <c r="B111" s="206">
        <v>-5.369821647605022E-5</v>
      </c>
      <c r="C111" s="206">
        <v>-3.3578898063524321E-4</v>
      </c>
      <c r="D111" s="206">
        <v>6.7265295064089514E-4</v>
      </c>
      <c r="E111" s="206">
        <v>7.3096326900667918E-5</v>
      </c>
      <c r="F111" s="386">
        <v>3.5626208409667015E-4</v>
      </c>
      <c r="G111" s="386">
        <v>-5.9570532340558202E-4</v>
      </c>
      <c r="H111" s="206">
        <v>3.7846296203269958E-4</v>
      </c>
      <c r="I111" s="206">
        <v>6.0198788389698166E-4</v>
      </c>
      <c r="J111" s="206">
        <v>-4.5360335786881478E-4</v>
      </c>
      <c r="K111" s="386">
        <v>-6.8857830456181546E-5</v>
      </c>
      <c r="L111" s="386">
        <v>-1.1912856689377804E-4</v>
      </c>
      <c r="M111" s="206">
        <v>-1.9312969465090646E-4</v>
      </c>
      <c r="N111" s="206">
        <v>2.2935604067697568E-4</v>
      </c>
      <c r="O111" s="206">
        <v>-1.6916811784994934E-3</v>
      </c>
      <c r="P111" s="386">
        <v>-1.7745833995377325E-3</v>
      </c>
      <c r="Q111" s="386">
        <v>-2.4549116801608761E-5</v>
      </c>
      <c r="R111" s="206">
        <v>2.5536236717016436E-4</v>
      </c>
      <c r="S111" s="206"/>
      <c r="T111" s="206"/>
      <c r="U111" s="386">
        <v>-1.7745833995377325E-3</v>
      </c>
    </row>
    <row r="112" spans="1:21">
      <c r="A112" s="175" t="s">
        <v>176</v>
      </c>
      <c r="B112" s="193">
        <v>333.34951899999999</v>
      </c>
      <c r="C112" s="174">
        <v>333.91861999999998</v>
      </c>
      <c r="D112" s="174">
        <v>334.293046</v>
      </c>
      <c r="E112" s="174">
        <v>335.10683799999998</v>
      </c>
      <c r="F112" s="188">
        <v>334.17150900000001</v>
      </c>
      <c r="G112" s="188">
        <v>335.69859000000002</v>
      </c>
      <c r="H112" s="193">
        <v>336.15452399999998</v>
      </c>
      <c r="I112" s="193">
        <v>336.56187699999998</v>
      </c>
      <c r="J112" s="193">
        <v>337.22382399999998</v>
      </c>
      <c r="K112" s="188">
        <v>336.41485599999999</v>
      </c>
      <c r="L112" s="188">
        <v>337.50623200000001</v>
      </c>
      <c r="M112" s="193">
        <v>338.08064100000001</v>
      </c>
      <c r="N112" s="193">
        <v>338.48897499999998</v>
      </c>
      <c r="O112" s="193">
        <v>338.83946900000001</v>
      </c>
      <c r="P112" s="188">
        <v>338.42456299999998</v>
      </c>
      <c r="Q112" s="188">
        <v>339.69057900000001</v>
      </c>
      <c r="R112" s="174">
        <v>340.88260300000002</v>
      </c>
      <c r="S112" s="193">
        <f>+S39</f>
        <v>341.2</v>
      </c>
      <c r="T112" s="193">
        <f>+T39</f>
        <v>341.7</v>
      </c>
      <c r="U112" s="188">
        <f>+U76</f>
        <v>340.8</v>
      </c>
    </row>
    <row r="113" spans="1:21">
      <c r="A113" s="175" t="s">
        <v>177</v>
      </c>
      <c r="B113" s="207">
        <f t="shared" ref="B113:R113" si="110">+B103/B112</f>
        <v>0.24711012537379626</v>
      </c>
      <c r="C113" s="207">
        <f t="shared" si="110"/>
        <v>0.35550240216626777</v>
      </c>
      <c r="D113" s="207">
        <f t="shared" si="110"/>
        <v>0.39657123190886845</v>
      </c>
      <c r="E113" s="207">
        <f t="shared" si="110"/>
        <v>0.678870918160276</v>
      </c>
      <c r="F113" s="387">
        <f t="shared" si="110"/>
        <v>1.6792221650382073</v>
      </c>
      <c r="G113" s="387">
        <f t="shared" si="110"/>
        <v>0.31562081411547976</v>
      </c>
      <c r="H113" s="207">
        <f t="shared" si="110"/>
        <v>0.41651129628240602</v>
      </c>
      <c r="I113" s="207">
        <f t="shared" si="110"/>
        <v>0.51018140704300818</v>
      </c>
      <c r="J113" s="207">
        <f t="shared" si="110"/>
        <v>0.80509400148458454</v>
      </c>
      <c r="K113" s="387">
        <f t="shared" si="110"/>
        <v>2.0485721612741234</v>
      </c>
      <c r="L113" s="387">
        <f t="shared" si="110"/>
        <v>0.35805185737021583</v>
      </c>
      <c r="M113" s="207">
        <f t="shared" si="110"/>
        <v>0.51738874500257703</v>
      </c>
      <c r="N113" s="207">
        <f t="shared" si="110"/>
        <v>0.49640294493093096</v>
      </c>
      <c r="O113" s="207">
        <f t="shared" si="110"/>
        <v>0.92893251625206208</v>
      </c>
      <c r="P113" s="387">
        <f t="shared" si="110"/>
        <v>2.3005120238823049</v>
      </c>
      <c r="Q113" s="387">
        <f t="shared" si="110"/>
        <v>0.42639247570435651</v>
      </c>
      <c r="R113" s="207">
        <f t="shared" si="110"/>
        <v>0.65220368903411308</v>
      </c>
      <c r="S113" s="200">
        <f>+S103/S112</f>
        <v>0.64302461899179542</v>
      </c>
      <c r="T113" s="200">
        <f>+T103/T112</f>
        <v>0.98873573309921003</v>
      </c>
      <c r="U113" s="387">
        <f t="shared" ref="U113" si="111">+U103/U112</f>
        <v>2.7124923654853519</v>
      </c>
    </row>
    <row r="114" spans="1:21">
      <c r="A114" s="175"/>
      <c r="B114" s="74"/>
      <c r="C114" s="74"/>
      <c r="D114" s="74"/>
      <c r="E114" s="74"/>
      <c r="F114" s="74"/>
      <c r="G114" s="74"/>
      <c r="H114" s="74"/>
      <c r="I114" s="74"/>
      <c r="J114" s="74"/>
      <c r="K114" s="74"/>
      <c r="L114" s="74"/>
      <c r="M114" s="74"/>
      <c r="N114" s="74"/>
      <c r="O114" s="74"/>
      <c r="P114" s="74"/>
      <c r="Q114" s="74"/>
      <c r="R114" s="74"/>
      <c r="S114" s="74"/>
      <c r="T114" s="74"/>
      <c r="U114" s="74"/>
    </row>
    <row r="115" spans="1:21" ht="14.7" customHeight="1">
      <c r="A115" s="398" t="s">
        <v>125</v>
      </c>
      <c r="B115" s="478"/>
      <c r="C115" s="478"/>
      <c r="D115" s="478"/>
      <c r="E115" s="478"/>
      <c r="F115" s="478"/>
      <c r="G115" s="478"/>
      <c r="H115" s="478"/>
      <c r="I115" s="478"/>
      <c r="J115" s="478"/>
      <c r="K115" s="478"/>
      <c r="L115" s="74"/>
      <c r="M115" s="74"/>
      <c r="N115" s="74"/>
      <c r="O115" s="74"/>
      <c r="P115" s="74"/>
      <c r="Q115" s="74"/>
      <c r="R115" s="74"/>
      <c r="S115" s="74"/>
      <c r="T115" s="74"/>
      <c r="U115" s="74"/>
    </row>
    <row r="116" spans="1:21">
      <c r="A116" s="412" t="s">
        <v>120</v>
      </c>
      <c r="B116" s="478"/>
      <c r="C116" s="478"/>
      <c r="D116" s="478"/>
      <c r="E116" s="478"/>
      <c r="F116" s="478"/>
      <c r="G116" s="478"/>
      <c r="H116" s="478"/>
      <c r="I116" s="478"/>
      <c r="J116" s="478"/>
      <c r="K116" s="478"/>
      <c r="L116" s="74"/>
      <c r="M116" s="74"/>
      <c r="N116" s="74"/>
      <c r="O116" s="74"/>
      <c r="P116" s="74"/>
      <c r="Q116" s="201"/>
      <c r="R116" s="74"/>
      <c r="S116" s="74"/>
      <c r="T116" s="74"/>
      <c r="U116" s="74"/>
    </row>
    <row r="117" spans="1:21">
      <c r="A117" s="412"/>
      <c r="B117" s="97"/>
      <c r="C117" s="74"/>
      <c r="D117" s="74"/>
      <c r="E117" s="74"/>
      <c r="F117" s="74"/>
      <c r="G117" s="74"/>
      <c r="H117" s="74"/>
      <c r="I117" s="74"/>
      <c r="J117" s="74"/>
      <c r="K117" s="74"/>
      <c r="L117" s="74"/>
      <c r="M117" s="74"/>
      <c r="N117" s="74"/>
      <c r="O117" s="74"/>
      <c r="P117" s="74"/>
      <c r="Q117" s="74"/>
      <c r="R117" s="74"/>
      <c r="S117" s="74"/>
      <c r="T117" s="74"/>
      <c r="U117" s="74"/>
    </row>
    <row r="118" spans="1:21" s="474" customFormat="1">
      <c r="A118" s="471" t="s">
        <v>243</v>
      </c>
      <c r="B118" s="472"/>
      <c r="C118" s="472"/>
      <c r="D118" s="472"/>
      <c r="E118" s="472"/>
      <c r="F118" s="472"/>
      <c r="G118" s="472"/>
      <c r="H118" s="472"/>
      <c r="I118" s="472"/>
      <c r="J118" s="472"/>
      <c r="K118" s="472"/>
      <c r="L118" s="472"/>
      <c r="M118" s="472"/>
      <c r="N118" s="472"/>
      <c r="O118" s="472"/>
      <c r="P118" s="472"/>
      <c r="Q118" s="472"/>
      <c r="R118" s="472"/>
      <c r="S118" s="472"/>
      <c r="T118" s="472"/>
      <c r="U118" s="472"/>
    </row>
    <row r="119" spans="1:21">
      <c r="A119" s="371" t="s">
        <v>122</v>
      </c>
      <c r="B119" s="208">
        <f t="shared" ref="B119:S119" si="112">+B25</f>
        <v>37.901732012088097</v>
      </c>
      <c r="C119" s="208">
        <f t="shared" si="112"/>
        <v>64.111906896356103</v>
      </c>
      <c r="D119" s="208">
        <f t="shared" si="112"/>
        <v>69.303715435982795</v>
      </c>
      <c r="E119" s="208">
        <f t="shared" si="112"/>
        <v>92.442222759878206</v>
      </c>
      <c r="F119" s="388">
        <f t="shared" si="112"/>
        <v>263.75957710430521</v>
      </c>
      <c r="G119" s="388">
        <f t="shared" si="112"/>
        <v>56.902592932391194</v>
      </c>
      <c r="H119" s="208">
        <f t="shared" si="112"/>
        <v>76.474833443600303</v>
      </c>
      <c r="I119" s="208">
        <f t="shared" si="112"/>
        <v>72.865337187835607</v>
      </c>
      <c r="J119" s="208">
        <f t="shared" si="112"/>
        <v>114.609783548585</v>
      </c>
      <c r="K119" s="388">
        <f t="shared" si="112"/>
        <v>320.85254711241214</v>
      </c>
      <c r="L119" s="388">
        <f t="shared" si="112"/>
        <v>50.125645406670699</v>
      </c>
      <c r="M119" s="208">
        <f t="shared" si="112"/>
        <v>64.037721589867999</v>
      </c>
      <c r="N119" s="208">
        <f t="shared" si="112"/>
        <v>51.413967615637695</v>
      </c>
      <c r="O119" s="208">
        <f t="shared" si="112"/>
        <v>131.08400677319699</v>
      </c>
      <c r="P119" s="388">
        <f t="shared" si="112"/>
        <v>296.66134138537336</v>
      </c>
      <c r="Q119" s="388">
        <f t="shared" si="112"/>
        <v>51.272918598344994</v>
      </c>
      <c r="R119" s="208">
        <f t="shared" si="112"/>
        <v>68.362147821845298</v>
      </c>
      <c r="S119" s="208">
        <f t="shared" si="112"/>
        <v>76.2</v>
      </c>
      <c r="T119" s="208">
        <f t="shared" ref="T119:U119" si="113">+T25</f>
        <v>270.3</v>
      </c>
      <c r="U119" s="388">
        <f t="shared" si="113"/>
        <v>466.1350664201903</v>
      </c>
    </row>
    <row r="120" spans="1:21">
      <c r="A120" s="371" t="s">
        <v>121</v>
      </c>
      <c r="B120" s="208">
        <f t="shared" ref="B120:S120" si="114">+B24</f>
        <v>105.84344763163327</v>
      </c>
      <c r="C120" s="208">
        <f t="shared" si="114"/>
        <v>194.3110632391228</v>
      </c>
      <c r="D120" s="208">
        <f t="shared" si="114"/>
        <v>178.99604916915567</v>
      </c>
      <c r="E120" s="208">
        <f t="shared" si="114"/>
        <v>298.11138759991894</v>
      </c>
      <c r="F120" s="388">
        <f t="shared" si="114"/>
        <v>777.26194763983074</v>
      </c>
      <c r="G120" s="388">
        <f t="shared" si="114"/>
        <v>150.04054919096799</v>
      </c>
      <c r="H120" s="208">
        <f t="shared" si="114"/>
        <v>209.62821088851337</v>
      </c>
      <c r="I120" s="208">
        <f t="shared" si="114"/>
        <v>222.85578723647572</v>
      </c>
      <c r="J120" s="208">
        <f t="shared" si="114"/>
        <v>297.2047707004283</v>
      </c>
      <c r="K120" s="388">
        <f t="shared" si="114"/>
        <v>879.72931801638561</v>
      </c>
      <c r="L120" s="388">
        <f t="shared" si="114"/>
        <v>134.76503457944983</v>
      </c>
      <c r="M120" s="208">
        <f t="shared" si="114"/>
        <v>187.48390187964122</v>
      </c>
      <c r="N120" s="208">
        <f t="shared" si="114"/>
        <v>162.26610690533406</v>
      </c>
      <c r="O120" s="208">
        <f t="shared" si="114"/>
        <v>396.2221285911649</v>
      </c>
      <c r="P120" s="388">
        <f t="shared" si="114"/>
        <v>880.73717195558982</v>
      </c>
      <c r="Q120" s="388">
        <f t="shared" si="114"/>
        <v>182.86737437967099</v>
      </c>
      <c r="R120" s="208">
        <f t="shared" si="114"/>
        <v>266.73143923663815</v>
      </c>
      <c r="S120" s="208">
        <f t="shared" si="114"/>
        <v>273.49999999999994</v>
      </c>
      <c r="T120" s="208">
        <f t="shared" ref="T120:U120" si="115">+T24</f>
        <v>440.95100000000031</v>
      </c>
      <c r="U120" s="388">
        <f t="shared" si="115"/>
        <v>1164.0498136163092</v>
      </c>
    </row>
    <row r="121" spans="1:21" s="19" customFormat="1">
      <c r="A121" s="399" t="s">
        <v>96</v>
      </c>
      <c r="B121" s="400">
        <f t="shared" ref="B121:S121" si="116">+B28</f>
        <v>0.27867418616063699</v>
      </c>
      <c r="C121" s="400">
        <f t="shared" si="116"/>
        <v>24.735284804721601</v>
      </c>
      <c r="D121" s="400">
        <f t="shared" si="116"/>
        <v>2.5930290523847299</v>
      </c>
      <c r="E121" s="400">
        <f t="shared" si="116"/>
        <v>1.39287804519388</v>
      </c>
      <c r="F121" s="401">
        <f t="shared" si="116"/>
        <v>28.999866088460845</v>
      </c>
      <c r="G121" s="401">
        <f t="shared" si="116"/>
        <v>0.20058908532484901</v>
      </c>
      <c r="H121" s="400">
        <f t="shared" si="116"/>
        <v>8.1248322190230997</v>
      </c>
      <c r="I121" s="400">
        <f t="shared" si="116"/>
        <v>0.86784227841677197</v>
      </c>
      <c r="J121" s="400">
        <f t="shared" si="116"/>
        <v>2.5513430640918102</v>
      </c>
      <c r="K121" s="401">
        <f t="shared" si="116"/>
        <v>11.74460664685653</v>
      </c>
      <c r="L121" s="401">
        <f t="shared" si="116"/>
        <v>2.4725404533606898</v>
      </c>
      <c r="M121" s="400">
        <f t="shared" si="116"/>
        <v>1.7774626186240399</v>
      </c>
      <c r="N121" s="400">
        <f t="shared" si="116"/>
        <v>6.6895585398460806</v>
      </c>
      <c r="O121" s="400">
        <f t="shared" si="116"/>
        <v>1.1510294141817801</v>
      </c>
      <c r="P121" s="401">
        <f t="shared" si="116"/>
        <v>12.090591026012591</v>
      </c>
      <c r="Q121" s="401">
        <f t="shared" si="116"/>
        <v>1.90597286733172</v>
      </c>
      <c r="R121" s="400">
        <f t="shared" si="116"/>
        <v>1.2310169479723501</v>
      </c>
      <c r="S121" s="400">
        <f t="shared" si="116"/>
        <v>1</v>
      </c>
      <c r="T121" s="400">
        <f t="shared" ref="T121:U121" si="117">+T28</f>
        <v>2.2999999999999998</v>
      </c>
      <c r="U121" s="401">
        <f t="shared" si="117"/>
        <v>6.4369898153040701</v>
      </c>
    </row>
    <row r="122" spans="1:21">
      <c r="A122" s="371" t="s">
        <v>123</v>
      </c>
      <c r="B122" s="208">
        <f t="shared" ref="B122:S122" si="118">+B120-B121</f>
        <v>105.56477344547262</v>
      </c>
      <c r="C122" s="208">
        <f t="shared" si="118"/>
        <v>169.5757784344012</v>
      </c>
      <c r="D122" s="208">
        <f t="shared" si="118"/>
        <v>176.40302011677093</v>
      </c>
      <c r="E122" s="208">
        <f t="shared" si="118"/>
        <v>296.71850955472507</v>
      </c>
      <c r="F122" s="388">
        <f t="shared" si="118"/>
        <v>748.26208155136987</v>
      </c>
      <c r="G122" s="388">
        <f t="shared" si="118"/>
        <v>149.83996010564314</v>
      </c>
      <c r="H122" s="208">
        <f t="shared" si="118"/>
        <v>201.50337866949027</v>
      </c>
      <c r="I122" s="208">
        <f t="shared" si="118"/>
        <v>221.98794495805896</v>
      </c>
      <c r="J122" s="208">
        <f t="shared" si="118"/>
        <v>294.65342763633646</v>
      </c>
      <c r="K122" s="388">
        <f t="shared" si="118"/>
        <v>867.98471136952912</v>
      </c>
      <c r="L122" s="388">
        <f t="shared" si="118"/>
        <v>132.29249412608914</v>
      </c>
      <c r="M122" s="208">
        <f t="shared" si="118"/>
        <v>185.70643926101718</v>
      </c>
      <c r="N122" s="208">
        <f t="shared" si="118"/>
        <v>155.57654836548798</v>
      </c>
      <c r="O122" s="208">
        <f t="shared" si="118"/>
        <v>395.07109917698313</v>
      </c>
      <c r="P122" s="388">
        <f t="shared" si="118"/>
        <v>868.64658092957723</v>
      </c>
      <c r="Q122" s="388">
        <f t="shared" si="118"/>
        <v>180.96140151233928</v>
      </c>
      <c r="R122" s="208">
        <f t="shared" si="118"/>
        <v>265.50042228866579</v>
      </c>
      <c r="S122" s="208">
        <f t="shared" si="118"/>
        <v>272.49999999999994</v>
      </c>
      <c r="T122" s="208">
        <f t="shared" ref="T122:U122" si="119">+T120-T121</f>
        <v>438.65100000000029</v>
      </c>
      <c r="U122" s="388">
        <f t="shared" si="119"/>
        <v>1157.6128238010051</v>
      </c>
    </row>
    <row r="123" spans="1:21">
      <c r="A123" s="371" t="s">
        <v>124</v>
      </c>
      <c r="B123" s="209">
        <f t="shared" ref="B123:S123" si="120">+B119/B122</f>
        <v>0.35903768629471344</v>
      </c>
      <c r="C123" s="209">
        <f t="shared" si="120"/>
        <v>0.37807231367749372</v>
      </c>
      <c r="D123" s="209">
        <f t="shared" si="120"/>
        <v>0.39287147912834386</v>
      </c>
      <c r="E123" s="209">
        <f t="shared" si="120"/>
        <v>0.31154855454957281</v>
      </c>
      <c r="F123" s="389">
        <f t="shared" si="120"/>
        <v>0.35249624911829441</v>
      </c>
      <c r="G123" s="389">
        <f t="shared" si="120"/>
        <v>0.37975579339631832</v>
      </c>
      <c r="H123" s="209">
        <f t="shared" si="120"/>
        <v>0.37952134573900026</v>
      </c>
      <c r="I123" s="209">
        <f t="shared" si="120"/>
        <v>0.32824006367373837</v>
      </c>
      <c r="J123" s="209">
        <f t="shared" si="120"/>
        <v>0.38896470496870406</v>
      </c>
      <c r="K123" s="389">
        <f t="shared" si="120"/>
        <v>0.36965230252288955</v>
      </c>
      <c r="L123" s="389">
        <f t="shared" si="120"/>
        <v>0.3789001465109238</v>
      </c>
      <c r="M123" s="209">
        <f t="shared" si="120"/>
        <v>0.34483307011158965</v>
      </c>
      <c r="N123" s="209">
        <f t="shared" si="120"/>
        <v>0.3304737645602826</v>
      </c>
      <c r="O123" s="209">
        <f t="shared" si="120"/>
        <v>0.33179852195281501</v>
      </c>
      <c r="P123" s="389">
        <f t="shared" si="120"/>
        <v>0.34152133663831719</v>
      </c>
      <c r="Q123" s="389">
        <f t="shared" si="120"/>
        <v>0.28333621518094193</v>
      </c>
      <c r="R123" s="209">
        <f t="shared" si="120"/>
        <v>0.25748413969571182</v>
      </c>
      <c r="S123" s="209">
        <f t="shared" si="120"/>
        <v>0.27963302752293584</v>
      </c>
      <c r="T123" s="209">
        <f t="shared" ref="T123:U123" si="121">+T119/T122</f>
        <v>0.61620741774212262</v>
      </c>
      <c r="U123" s="389">
        <f t="shared" si="121"/>
        <v>0.40266923174679636</v>
      </c>
    </row>
    <row r="124" spans="1:21">
      <c r="A124" s="175"/>
      <c r="B124" s="74"/>
      <c r="C124" s="74"/>
      <c r="D124" s="74"/>
      <c r="E124" s="74"/>
      <c r="F124" s="160"/>
      <c r="G124" s="160"/>
      <c r="H124" s="74"/>
      <c r="I124" s="74"/>
      <c r="J124" s="74"/>
      <c r="K124" s="160"/>
      <c r="L124" s="160"/>
      <c r="M124" s="74"/>
      <c r="N124" s="74"/>
      <c r="O124" s="74"/>
      <c r="P124" s="160"/>
      <c r="Q124" s="160"/>
      <c r="R124" s="74"/>
      <c r="S124" s="74"/>
      <c r="T124" s="74"/>
      <c r="U124" s="160"/>
    </row>
    <row r="125" spans="1:21">
      <c r="A125" s="175"/>
      <c r="B125" s="74"/>
      <c r="C125" s="74"/>
      <c r="D125" s="74"/>
      <c r="E125" s="74"/>
      <c r="F125" s="160"/>
      <c r="G125" s="160"/>
      <c r="H125" s="74"/>
      <c r="I125" s="74"/>
      <c r="J125" s="74"/>
      <c r="K125" s="160"/>
      <c r="L125" s="160"/>
      <c r="M125" s="74"/>
      <c r="N125" s="74"/>
      <c r="O125" s="74"/>
      <c r="P125" s="160"/>
      <c r="Q125" s="160"/>
      <c r="R125" s="74"/>
      <c r="S125" s="74"/>
      <c r="T125" s="74"/>
      <c r="U125" s="160"/>
    </row>
    <row r="126" spans="1:21" s="474" customFormat="1">
      <c r="A126" s="471" t="s">
        <v>246</v>
      </c>
      <c r="B126" s="475"/>
      <c r="C126" s="475"/>
      <c r="D126" s="475"/>
      <c r="E126" s="475"/>
      <c r="F126" s="476"/>
      <c r="G126" s="476"/>
      <c r="H126" s="475"/>
      <c r="I126" s="475"/>
      <c r="J126" s="475"/>
      <c r="K126" s="476"/>
      <c r="L126" s="476"/>
      <c r="M126" s="475"/>
      <c r="N126" s="475"/>
      <c r="O126" s="475"/>
      <c r="P126" s="476"/>
      <c r="Q126" s="476"/>
      <c r="R126" s="475"/>
      <c r="S126" s="475"/>
      <c r="T126" s="475"/>
      <c r="U126" s="476"/>
    </row>
    <row r="127" spans="1:21">
      <c r="A127" s="371" t="s">
        <v>122</v>
      </c>
      <c r="B127" s="208">
        <f t="shared" ref="B127:S127" si="122">+B63</f>
        <v>5.5330000000000013</v>
      </c>
      <c r="C127" s="208">
        <f t="shared" si="122"/>
        <v>5.3299999999999983</v>
      </c>
      <c r="D127" s="208">
        <f t="shared" si="122"/>
        <v>13.090000000000003</v>
      </c>
      <c r="E127" s="208">
        <f t="shared" si="122"/>
        <v>12.492999999999782</v>
      </c>
      <c r="F127" s="388">
        <f t="shared" si="122"/>
        <v>36.445999999999799</v>
      </c>
      <c r="G127" s="388">
        <f t="shared" si="122"/>
        <v>5.2720000000000056</v>
      </c>
      <c r="H127" s="208">
        <f t="shared" si="122"/>
        <v>6.6609999999999872</v>
      </c>
      <c r="I127" s="208">
        <f t="shared" si="122"/>
        <v>12.344999999999999</v>
      </c>
      <c r="J127" s="208">
        <f t="shared" si="122"/>
        <v>38.322000000000003</v>
      </c>
      <c r="K127" s="388">
        <f t="shared" si="122"/>
        <v>62.599999999999909</v>
      </c>
      <c r="L127" s="388">
        <f t="shared" si="122"/>
        <v>16.259</v>
      </c>
      <c r="M127" s="208">
        <f t="shared" si="122"/>
        <v>23.885999999999996</v>
      </c>
      <c r="N127" s="208">
        <f t="shared" si="122"/>
        <v>31.271000000000008</v>
      </c>
      <c r="O127" s="208">
        <f t="shared" si="122"/>
        <v>21.76600000000002</v>
      </c>
      <c r="P127" s="388">
        <f t="shared" si="122"/>
        <v>93.182000000000016</v>
      </c>
      <c r="Q127" s="388">
        <f t="shared" si="122"/>
        <v>8.4490000000000052</v>
      </c>
      <c r="R127" s="208">
        <f t="shared" si="122"/>
        <v>14.796154999999899</v>
      </c>
      <c r="S127" s="208">
        <f t="shared" si="122"/>
        <v>10.199999999999999</v>
      </c>
      <c r="T127" s="208">
        <f t="shared" ref="T127:U127" si="123">+T63</f>
        <v>-134.70000000000002</v>
      </c>
      <c r="U127" s="388">
        <f t="shared" si="123"/>
        <v>-101.2548450000001</v>
      </c>
    </row>
    <row r="128" spans="1:21">
      <c r="A128" s="371" t="s">
        <v>121</v>
      </c>
      <c r="B128" s="208">
        <f t="shared" ref="B128:S128" si="124">+B62</f>
        <v>20.244000000000142</v>
      </c>
      <c r="C128" s="208">
        <f t="shared" si="124"/>
        <v>18.575000000000045</v>
      </c>
      <c r="D128" s="208">
        <f t="shared" si="124"/>
        <v>38.561700389999913</v>
      </c>
      <c r="E128" s="208">
        <f t="shared" si="124"/>
        <v>35.710999999999785</v>
      </c>
      <c r="F128" s="388">
        <f t="shared" si="124"/>
        <v>113.09170038999989</v>
      </c>
      <c r="G128" s="388">
        <f t="shared" si="124"/>
        <v>18.288095099966711</v>
      </c>
      <c r="H128" s="208">
        <f t="shared" si="124"/>
        <v>21.644611316545166</v>
      </c>
      <c r="I128" s="208">
        <f t="shared" si="124"/>
        <v>34.930004194672478</v>
      </c>
      <c r="J128" s="208">
        <f t="shared" si="124"/>
        <v>129.77523377234178</v>
      </c>
      <c r="K128" s="388">
        <f t="shared" si="124"/>
        <v>204.63794438352613</v>
      </c>
      <c r="L128" s="388">
        <f t="shared" si="124"/>
        <v>54.936884522204537</v>
      </c>
      <c r="M128" s="208">
        <f t="shared" si="124"/>
        <v>77.136400885507612</v>
      </c>
      <c r="N128" s="208">
        <f t="shared" si="124"/>
        <v>95.135343266801982</v>
      </c>
      <c r="O128" s="208">
        <f t="shared" si="124"/>
        <v>72.537908139896444</v>
      </c>
      <c r="P128" s="388">
        <f t="shared" si="124"/>
        <v>299.74653681441055</v>
      </c>
      <c r="Q128" s="388">
        <f t="shared" si="124"/>
        <v>23.602024039262034</v>
      </c>
      <c r="R128" s="208">
        <f t="shared" si="124"/>
        <v>39.982771737330438</v>
      </c>
      <c r="S128" s="208">
        <f t="shared" si="124"/>
        <v>33.299999999999997</v>
      </c>
      <c r="T128" s="208">
        <f t="shared" ref="T128:U128" si="125">+T62</f>
        <v>34.799999999999997</v>
      </c>
      <c r="U128" s="388">
        <f t="shared" si="125"/>
        <v>131.68479577659247</v>
      </c>
    </row>
    <row r="129" spans="1:21" s="19" customFormat="1">
      <c r="A129" s="399" t="s">
        <v>96</v>
      </c>
      <c r="B129" s="400">
        <f t="shared" ref="B129:S129" si="126">+B66</f>
        <v>0</v>
      </c>
      <c r="C129" s="400">
        <f t="shared" si="126"/>
        <v>0</v>
      </c>
      <c r="D129" s="400">
        <f t="shared" si="126"/>
        <v>0</v>
      </c>
      <c r="E129" s="400">
        <f t="shared" si="126"/>
        <v>0</v>
      </c>
      <c r="F129" s="401">
        <f t="shared" si="126"/>
        <v>0</v>
      </c>
      <c r="G129" s="401">
        <f t="shared" si="126"/>
        <v>0</v>
      </c>
      <c r="H129" s="400">
        <f t="shared" si="126"/>
        <v>0</v>
      </c>
      <c r="I129" s="400">
        <f t="shared" si="126"/>
        <v>0</v>
      </c>
      <c r="J129" s="400">
        <f t="shared" si="126"/>
        <v>0</v>
      </c>
      <c r="K129" s="401">
        <f t="shared" si="126"/>
        <v>0</v>
      </c>
      <c r="L129" s="401">
        <f t="shared" si="126"/>
        <v>0</v>
      </c>
      <c r="M129" s="400">
        <f t="shared" si="126"/>
        <v>0</v>
      </c>
      <c r="N129" s="400">
        <f t="shared" si="126"/>
        <v>0</v>
      </c>
      <c r="O129" s="400">
        <f t="shared" si="126"/>
        <v>0</v>
      </c>
      <c r="P129" s="401">
        <f t="shared" si="126"/>
        <v>0</v>
      </c>
      <c r="Q129" s="401">
        <f t="shared" si="126"/>
        <v>0</v>
      </c>
      <c r="R129" s="400">
        <f t="shared" si="126"/>
        <v>0</v>
      </c>
      <c r="S129" s="400">
        <f t="shared" si="126"/>
        <v>0</v>
      </c>
      <c r="T129" s="400">
        <f t="shared" ref="T129:U129" si="127">+T66</f>
        <v>0</v>
      </c>
      <c r="U129" s="401">
        <f t="shared" si="127"/>
        <v>0</v>
      </c>
    </row>
    <row r="130" spans="1:21">
      <c r="A130" s="371" t="s">
        <v>123</v>
      </c>
      <c r="B130" s="208">
        <f t="shared" ref="B130:S130" si="128">+B128-B129</f>
        <v>20.244000000000142</v>
      </c>
      <c r="C130" s="208">
        <f t="shared" si="128"/>
        <v>18.575000000000045</v>
      </c>
      <c r="D130" s="208">
        <f t="shared" si="128"/>
        <v>38.561700389999913</v>
      </c>
      <c r="E130" s="208">
        <f t="shared" si="128"/>
        <v>35.710999999999785</v>
      </c>
      <c r="F130" s="388">
        <f t="shared" si="128"/>
        <v>113.09170038999989</v>
      </c>
      <c r="G130" s="388">
        <f t="shared" si="128"/>
        <v>18.288095099966711</v>
      </c>
      <c r="H130" s="208">
        <f t="shared" si="128"/>
        <v>21.644611316545166</v>
      </c>
      <c r="I130" s="208">
        <f t="shared" si="128"/>
        <v>34.930004194672478</v>
      </c>
      <c r="J130" s="208">
        <f t="shared" si="128"/>
        <v>129.77523377234178</v>
      </c>
      <c r="K130" s="388">
        <f t="shared" si="128"/>
        <v>204.63794438352613</v>
      </c>
      <c r="L130" s="388">
        <f t="shared" si="128"/>
        <v>54.936884522204537</v>
      </c>
      <c r="M130" s="208">
        <f t="shared" si="128"/>
        <v>77.136400885507612</v>
      </c>
      <c r="N130" s="208">
        <f t="shared" si="128"/>
        <v>95.135343266801982</v>
      </c>
      <c r="O130" s="208">
        <f t="shared" si="128"/>
        <v>72.537908139896444</v>
      </c>
      <c r="P130" s="388">
        <f t="shared" si="128"/>
        <v>299.74653681441055</v>
      </c>
      <c r="Q130" s="388">
        <f t="shared" si="128"/>
        <v>23.602024039262034</v>
      </c>
      <c r="R130" s="208">
        <f t="shared" si="128"/>
        <v>39.982771737330438</v>
      </c>
      <c r="S130" s="208">
        <f t="shared" si="128"/>
        <v>33.299999999999997</v>
      </c>
      <c r="T130" s="208">
        <f t="shared" ref="T130:U130" si="129">+T128-T129</f>
        <v>34.799999999999997</v>
      </c>
      <c r="U130" s="388">
        <f t="shared" si="129"/>
        <v>131.68479577659247</v>
      </c>
    </row>
    <row r="131" spans="1:21">
      <c r="A131" s="371" t="s">
        <v>124</v>
      </c>
      <c r="B131" s="209">
        <f t="shared" ref="B131:S131" si="130">+B127/B130</f>
        <v>0.27331555028650278</v>
      </c>
      <c r="C131" s="209">
        <f t="shared" si="130"/>
        <v>0.28694481830417146</v>
      </c>
      <c r="D131" s="209">
        <f t="shared" si="130"/>
        <v>0.33945598528104826</v>
      </c>
      <c r="E131" s="209">
        <f t="shared" si="130"/>
        <v>0.34983618492900947</v>
      </c>
      <c r="F131" s="389">
        <f t="shared" si="130"/>
        <v>0.3222694492550271</v>
      </c>
      <c r="G131" s="389">
        <f t="shared" si="130"/>
        <v>0.2882749663746883</v>
      </c>
      <c r="H131" s="209">
        <f t="shared" si="130"/>
        <v>0.30774403395769512</v>
      </c>
      <c r="I131" s="209">
        <f t="shared" si="130"/>
        <v>0.35342108552860863</v>
      </c>
      <c r="J131" s="209">
        <f t="shared" si="130"/>
        <v>0.29529517216841528</v>
      </c>
      <c r="K131" s="389">
        <f t="shared" si="130"/>
        <v>0.30590612209569951</v>
      </c>
      <c r="L131" s="389">
        <f t="shared" si="130"/>
        <v>0.29595780942817013</v>
      </c>
      <c r="M131" s="209">
        <f t="shared" si="130"/>
        <v>0.30965924940487727</v>
      </c>
      <c r="N131" s="209">
        <f t="shared" si="130"/>
        <v>0.32870013315978858</v>
      </c>
      <c r="O131" s="209">
        <f t="shared" si="130"/>
        <v>0.30006379503007119</v>
      </c>
      <c r="P131" s="389">
        <f t="shared" si="130"/>
        <v>0.31086931308799104</v>
      </c>
      <c r="Q131" s="389">
        <f t="shared" si="130"/>
        <v>0.35797777283613769</v>
      </c>
      <c r="R131" s="209">
        <f t="shared" si="130"/>
        <v>0.37006326367777237</v>
      </c>
      <c r="S131" s="209">
        <f t="shared" si="130"/>
        <v>0.30630630630630629</v>
      </c>
      <c r="T131" s="209">
        <f t="shared" ref="T131:U131" si="131">+T127/T130</f>
        <v>-3.8706896551724146</v>
      </c>
      <c r="U131" s="389">
        <f t="shared" si="131"/>
        <v>-0.76891826731297241</v>
      </c>
    </row>
    <row r="132" spans="1:21">
      <c r="A132" s="175"/>
      <c r="B132" s="74"/>
      <c r="C132" s="74"/>
      <c r="D132" s="74"/>
      <c r="E132" s="74"/>
      <c r="F132" s="160"/>
      <c r="G132" s="160"/>
      <c r="H132" s="74"/>
      <c r="I132" s="74"/>
      <c r="J132" s="74"/>
      <c r="K132" s="160"/>
      <c r="L132" s="160"/>
      <c r="M132" s="74"/>
      <c r="N132" s="74"/>
      <c r="O132" s="74"/>
      <c r="P132" s="160"/>
      <c r="Q132" s="160"/>
      <c r="R132" s="74"/>
      <c r="S132" s="74"/>
      <c r="T132" s="74"/>
      <c r="U132" s="160"/>
    </row>
    <row r="133" spans="1:21">
      <c r="A133" s="175"/>
      <c r="B133" s="74"/>
      <c r="C133" s="74"/>
      <c r="D133" s="74"/>
      <c r="E133" s="74"/>
      <c r="F133" s="160"/>
      <c r="G133" s="160"/>
      <c r="H133" s="74"/>
      <c r="I133" s="74"/>
      <c r="J133" s="74"/>
      <c r="K133" s="160"/>
      <c r="L133" s="160"/>
      <c r="M133" s="74"/>
      <c r="N133" s="74"/>
      <c r="O133" s="74"/>
      <c r="P133" s="160"/>
      <c r="Q133" s="160"/>
      <c r="R133" s="74"/>
      <c r="S133" s="74"/>
      <c r="T133" s="74"/>
      <c r="U133" s="160"/>
    </row>
    <row r="134" spans="1:21" s="474" customFormat="1">
      <c r="A134" s="471" t="s">
        <v>245</v>
      </c>
      <c r="B134" s="475"/>
      <c r="C134" s="475"/>
      <c r="D134" s="475"/>
      <c r="E134" s="475"/>
      <c r="F134" s="476"/>
      <c r="G134" s="476"/>
      <c r="H134" s="475"/>
      <c r="I134" s="475"/>
      <c r="J134" s="475"/>
      <c r="K134" s="476"/>
      <c r="L134" s="476"/>
      <c r="M134" s="475"/>
      <c r="N134" s="475"/>
      <c r="O134" s="475"/>
      <c r="P134" s="476"/>
      <c r="Q134" s="476"/>
      <c r="R134" s="475"/>
      <c r="S134" s="475"/>
      <c r="T134" s="475"/>
      <c r="U134" s="476"/>
    </row>
    <row r="135" spans="1:21">
      <c r="A135" s="371" t="s">
        <v>122</v>
      </c>
      <c r="B135" s="208">
        <f t="shared" ref="B135:S135" si="132">+B99</f>
        <v>43.434732012088098</v>
      </c>
      <c r="C135" s="208">
        <f t="shared" si="132"/>
        <v>69.441906896356102</v>
      </c>
      <c r="D135" s="208">
        <f t="shared" si="132"/>
        <v>82.393715435982799</v>
      </c>
      <c r="E135" s="208">
        <f t="shared" si="132"/>
        <v>104.93522275987799</v>
      </c>
      <c r="F135" s="388">
        <f t="shared" si="132"/>
        <v>300.20557710430501</v>
      </c>
      <c r="G135" s="388">
        <f t="shared" si="132"/>
        <v>62.174592932391199</v>
      </c>
      <c r="H135" s="208">
        <f t="shared" si="132"/>
        <v>83.135833443600291</v>
      </c>
      <c r="I135" s="208">
        <f t="shared" si="132"/>
        <v>85.210337187835606</v>
      </c>
      <c r="J135" s="208">
        <f t="shared" si="132"/>
        <v>152.931783548585</v>
      </c>
      <c r="K135" s="388">
        <f t="shared" si="132"/>
        <v>383.45254711241205</v>
      </c>
      <c r="L135" s="388">
        <f t="shared" si="132"/>
        <v>66.3846454066707</v>
      </c>
      <c r="M135" s="208">
        <f t="shared" si="132"/>
        <v>87.923721589867995</v>
      </c>
      <c r="N135" s="208">
        <f t="shared" si="132"/>
        <v>82.684967615637703</v>
      </c>
      <c r="O135" s="208">
        <f t="shared" si="132"/>
        <v>152.85000677319701</v>
      </c>
      <c r="P135" s="388">
        <f t="shared" si="132"/>
        <v>389.84334138537338</v>
      </c>
      <c r="Q135" s="388">
        <f t="shared" si="132"/>
        <v>59.721918598344999</v>
      </c>
      <c r="R135" s="208">
        <f t="shared" si="132"/>
        <v>83.158302821845197</v>
      </c>
      <c r="S135" s="208">
        <f t="shared" si="132"/>
        <v>86.4</v>
      </c>
      <c r="T135" s="208">
        <f t="shared" ref="T135:U135" si="133">+T99</f>
        <v>135.6</v>
      </c>
      <c r="U135" s="388">
        <f t="shared" si="133"/>
        <v>364.8802214201902</v>
      </c>
    </row>
    <row r="136" spans="1:21">
      <c r="A136" s="371" t="s">
        <v>121</v>
      </c>
      <c r="B136" s="208">
        <f t="shared" ref="B136:S136" si="134">+B98</f>
        <v>126.08744763163341</v>
      </c>
      <c r="C136" s="208">
        <f t="shared" si="134"/>
        <v>212.88606323912285</v>
      </c>
      <c r="D136" s="208">
        <f t="shared" si="134"/>
        <v>217.55774955915558</v>
      </c>
      <c r="E136" s="208">
        <f t="shared" si="134"/>
        <v>333.82238759991873</v>
      </c>
      <c r="F136" s="388">
        <f t="shared" si="134"/>
        <v>890.35364802983054</v>
      </c>
      <c r="G136" s="388">
        <f t="shared" si="134"/>
        <v>168.3286442909347</v>
      </c>
      <c r="H136" s="208">
        <f t="shared" si="134"/>
        <v>231.27282220505853</v>
      </c>
      <c r="I136" s="208">
        <f t="shared" si="134"/>
        <v>257.7857914311482</v>
      </c>
      <c r="J136" s="208">
        <f t="shared" si="134"/>
        <v>426.98000447277008</v>
      </c>
      <c r="K136" s="388">
        <f t="shared" si="134"/>
        <v>1084.3672623999116</v>
      </c>
      <c r="L136" s="388">
        <f t="shared" si="134"/>
        <v>189.70191910165437</v>
      </c>
      <c r="M136" s="208">
        <f t="shared" si="134"/>
        <v>264.62030276514884</v>
      </c>
      <c r="N136" s="208">
        <f t="shared" si="134"/>
        <v>257.40145017213604</v>
      </c>
      <c r="O136" s="208">
        <f t="shared" si="134"/>
        <v>468.76003673106135</v>
      </c>
      <c r="P136" s="388">
        <f t="shared" si="134"/>
        <v>1180.4837087700005</v>
      </c>
      <c r="Q136" s="388">
        <f t="shared" si="134"/>
        <v>206.46939841893303</v>
      </c>
      <c r="R136" s="208">
        <f t="shared" si="134"/>
        <v>306.71421097396859</v>
      </c>
      <c r="S136" s="208">
        <f t="shared" si="134"/>
        <v>306.80000000000058</v>
      </c>
      <c r="T136" s="208">
        <f t="shared" ref="T136:U136" si="135">+T98</f>
        <v>475.75100000000003</v>
      </c>
      <c r="U136" s="388">
        <f t="shared" si="135"/>
        <v>1295.7346093929023</v>
      </c>
    </row>
    <row r="137" spans="1:21" s="19" customFormat="1">
      <c r="A137" s="399" t="s">
        <v>96</v>
      </c>
      <c r="B137" s="400">
        <f t="shared" ref="B137:S137" si="136">+B102</f>
        <v>0.27867418616063699</v>
      </c>
      <c r="C137" s="400">
        <f t="shared" si="136"/>
        <v>24.735284804721601</v>
      </c>
      <c r="D137" s="400">
        <f t="shared" si="136"/>
        <v>2.5930290523847299</v>
      </c>
      <c r="E137" s="400">
        <f t="shared" si="136"/>
        <v>1.39287804519388</v>
      </c>
      <c r="F137" s="401">
        <f t="shared" si="136"/>
        <v>28.999866088460845</v>
      </c>
      <c r="G137" s="401">
        <f t="shared" si="136"/>
        <v>0.20058908532484901</v>
      </c>
      <c r="H137" s="400">
        <f t="shared" si="136"/>
        <v>8.1248322190230997</v>
      </c>
      <c r="I137" s="400">
        <f t="shared" si="136"/>
        <v>0.86784227841677197</v>
      </c>
      <c r="J137" s="400">
        <f t="shared" si="136"/>
        <v>2.5513430640918102</v>
      </c>
      <c r="K137" s="401">
        <f t="shared" si="136"/>
        <v>11.74460664685653</v>
      </c>
      <c r="L137" s="401">
        <f t="shared" si="136"/>
        <v>2.4725404533606898</v>
      </c>
      <c r="M137" s="400">
        <f t="shared" si="136"/>
        <v>1.7774626186240399</v>
      </c>
      <c r="N137" s="400">
        <f t="shared" si="136"/>
        <v>6.6895585398460806</v>
      </c>
      <c r="O137" s="400">
        <f t="shared" si="136"/>
        <v>1.1510294141817801</v>
      </c>
      <c r="P137" s="401">
        <f t="shared" si="136"/>
        <v>12.090591026012591</v>
      </c>
      <c r="Q137" s="401">
        <f t="shared" si="136"/>
        <v>1.90597286733172</v>
      </c>
      <c r="R137" s="400">
        <f t="shared" si="136"/>
        <v>1.2310169479723501</v>
      </c>
      <c r="S137" s="400">
        <f t="shared" si="136"/>
        <v>1</v>
      </c>
      <c r="T137" s="400">
        <f t="shared" ref="T137:U137" si="137">+T102</f>
        <v>2.2999999999999998</v>
      </c>
      <c r="U137" s="401">
        <f t="shared" si="137"/>
        <v>6.4369898153040701</v>
      </c>
    </row>
    <row r="138" spans="1:21">
      <c r="A138" s="371" t="s">
        <v>123</v>
      </c>
      <c r="B138" s="208">
        <f t="shared" ref="B138:S138" si="138">+B136-B137</f>
        <v>125.80877344547277</v>
      </c>
      <c r="C138" s="208">
        <f t="shared" si="138"/>
        <v>188.15077843440125</v>
      </c>
      <c r="D138" s="208">
        <f t="shared" si="138"/>
        <v>214.96472050677085</v>
      </c>
      <c r="E138" s="208">
        <f t="shared" si="138"/>
        <v>332.42950955472486</v>
      </c>
      <c r="F138" s="388">
        <f t="shared" si="138"/>
        <v>861.35378194136968</v>
      </c>
      <c r="G138" s="388">
        <f t="shared" si="138"/>
        <v>168.12805520560985</v>
      </c>
      <c r="H138" s="208">
        <f t="shared" si="138"/>
        <v>223.14798998603544</v>
      </c>
      <c r="I138" s="208">
        <f t="shared" si="138"/>
        <v>256.91794915273141</v>
      </c>
      <c r="J138" s="208">
        <f t="shared" si="138"/>
        <v>424.42866140867829</v>
      </c>
      <c r="K138" s="388">
        <f t="shared" si="138"/>
        <v>1072.6226557530551</v>
      </c>
      <c r="L138" s="388">
        <f t="shared" si="138"/>
        <v>187.22937864829368</v>
      </c>
      <c r="M138" s="208">
        <f t="shared" si="138"/>
        <v>262.84284014652479</v>
      </c>
      <c r="N138" s="208">
        <f t="shared" si="138"/>
        <v>250.71189163228996</v>
      </c>
      <c r="O138" s="208">
        <f t="shared" si="138"/>
        <v>467.60900731687957</v>
      </c>
      <c r="P138" s="388">
        <f t="shared" si="138"/>
        <v>1168.3931177439879</v>
      </c>
      <c r="Q138" s="388">
        <f t="shared" si="138"/>
        <v>204.56342555160131</v>
      </c>
      <c r="R138" s="208">
        <f t="shared" si="138"/>
        <v>305.48319402599623</v>
      </c>
      <c r="S138" s="208">
        <f t="shared" si="138"/>
        <v>305.80000000000058</v>
      </c>
      <c r="T138" s="208">
        <f t="shared" ref="T138:U138" si="139">+T136-T137</f>
        <v>473.45100000000002</v>
      </c>
      <c r="U138" s="388">
        <f t="shared" si="139"/>
        <v>1289.2976195775982</v>
      </c>
    </row>
    <row r="139" spans="1:21">
      <c r="A139" s="371" t="s">
        <v>124</v>
      </c>
      <c r="B139" s="209">
        <f t="shared" ref="B139:S139" si="140">+B135/B138</f>
        <v>0.34524406225860949</v>
      </c>
      <c r="C139" s="209">
        <f t="shared" si="140"/>
        <v>0.36907584158928697</v>
      </c>
      <c r="D139" s="209">
        <f t="shared" si="140"/>
        <v>0.38328947764890381</v>
      </c>
      <c r="E139" s="209">
        <f t="shared" si="140"/>
        <v>0.31566157559367769</v>
      </c>
      <c r="F139" s="389">
        <f t="shared" si="140"/>
        <v>0.34852761246103092</v>
      </c>
      <c r="G139" s="389">
        <f t="shared" si="140"/>
        <v>0.36980498499406095</v>
      </c>
      <c r="H139" s="209">
        <f t="shared" si="140"/>
        <v>0.37255918571707913</v>
      </c>
      <c r="I139" s="209">
        <f t="shared" si="140"/>
        <v>0.33166362050157949</v>
      </c>
      <c r="J139" s="209">
        <f t="shared" si="140"/>
        <v>0.36032388350259986</v>
      </c>
      <c r="K139" s="389">
        <f t="shared" si="140"/>
        <v>0.35749062827989764</v>
      </c>
      <c r="L139" s="389">
        <f t="shared" si="140"/>
        <v>0.35456318813818644</v>
      </c>
      <c r="M139" s="209">
        <f t="shared" si="140"/>
        <v>0.33451062064636761</v>
      </c>
      <c r="N139" s="209">
        <f t="shared" si="140"/>
        <v>0.32980074091143929</v>
      </c>
      <c r="O139" s="209">
        <f t="shared" si="140"/>
        <v>0.32687566830725479</v>
      </c>
      <c r="P139" s="389">
        <f t="shared" si="140"/>
        <v>0.333657683758108</v>
      </c>
      <c r="Q139" s="389">
        <f t="shared" si="140"/>
        <v>0.29194817420223584</v>
      </c>
      <c r="R139" s="209">
        <f t="shared" si="140"/>
        <v>0.2722189123594424</v>
      </c>
      <c r="S139" s="209">
        <f t="shared" si="140"/>
        <v>0.28253760627861296</v>
      </c>
      <c r="T139" s="209">
        <f t="shared" ref="T139:U139" si="141">+T135/T138</f>
        <v>0.2864076747118498</v>
      </c>
      <c r="U139" s="389">
        <f t="shared" si="141"/>
        <v>0.28300697672871905</v>
      </c>
    </row>
    <row r="140" spans="1:21">
      <c r="A140" s="173"/>
      <c r="B140" s="74"/>
      <c r="C140" s="74"/>
      <c r="D140" s="74"/>
      <c r="E140" s="74"/>
      <c r="F140" s="74"/>
      <c r="G140" s="74"/>
      <c r="H140" s="74"/>
      <c r="I140" s="74"/>
      <c r="J140" s="74"/>
      <c r="K140" s="74"/>
      <c r="L140" s="74"/>
      <c r="M140" s="74"/>
      <c r="N140" s="74" t="s">
        <v>97</v>
      </c>
      <c r="O140" s="74"/>
      <c r="P140" s="74"/>
      <c r="Q140" s="74"/>
      <c r="R140" s="74"/>
      <c r="S140" s="74"/>
      <c r="T140" s="74"/>
      <c r="U140" s="74"/>
    </row>
    <row r="141" spans="1:21" ht="23.4" customHeight="1">
      <c r="A141" s="500" t="s">
        <v>258</v>
      </c>
      <c r="B141" s="501"/>
      <c r="C141" s="501"/>
      <c r="D141" s="501"/>
      <c r="E141" s="501"/>
      <c r="F141" s="501"/>
      <c r="G141" s="501"/>
      <c r="H141" s="501"/>
      <c r="I141" s="501"/>
      <c r="J141" s="501"/>
      <c r="K141" s="501"/>
      <c r="L141" s="501"/>
      <c r="M141" s="501"/>
      <c r="N141" s="501"/>
      <c r="O141" s="501"/>
      <c r="P141" s="501"/>
      <c r="Q141" s="501"/>
      <c r="R141" s="501"/>
      <c r="S141" s="501"/>
      <c r="T141" s="501"/>
      <c r="U141" s="501"/>
    </row>
    <row r="142" spans="1:21">
      <c r="A142" s="173"/>
      <c r="B142" s="74"/>
      <c r="C142" s="74"/>
      <c r="D142" s="74"/>
      <c r="E142" s="74"/>
      <c r="F142" s="160"/>
      <c r="G142" s="160"/>
      <c r="H142" s="74"/>
      <c r="I142" s="74"/>
      <c r="J142" s="74"/>
      <c r="K142" s="160"/>
      <c r="L142" s="160"/>
      <c r="M142" s="74"/>
      <c r="N142" s="193" t="s">
        <v>97</v>
      </c>
      <c r="O142" s="74"/>
      <c r="P142" s="160"/>
      <c r="Q142" s="160"/>
      <c r="R142" s="74"/>
      <c r="S142" s="74"/>
      <c r="T142" s="74"/>
      <c r="U142" s="74"/>
    </row>
    <row r="143" spans="1:21">
      <c r="A143" s="173"/>
      <c r="B143" s="74"/>
      <c r="C143" s="74"/>
      <c r="D143" s="74"/>
      <c r="E143" s="74"/>
      <c r="F143" s="160"/>
      <c r="G143" s="160"/>
      <c r="H143" s="74"/>
      <c r="I143" s="74"/>
      <c r="J143" s="74"/>
      <c r="K143" s="160"/>
      <c r="L143" s="160"/>
      <c r="M143" s="74"/>
      <c r="N143" s="201" t="s">
        <v>97</v>
      </c>
      <c r="O143" s="74"/>
      <c r="P143" s="160"/>
      <c r="Q143" s="160"/>
      <c r="R143" s="74"/>
      <c r="S143" s="74"/>
      <c r="T143" s="74"/>
      <c r="U143" s="74"/>
    </row>
    <row r="144" spans="1:21">
      <c r="A144" s="26"/>
      <c r="B144" s="13"/>
    </row>
    <row r="145" spans="1:2">
      <c r="A145" s="26"/>
      <c r="B145" s="13"/>
    </row>
    <row r="146" spans="1:2">
      <c r="A146" s="26"/>
      <c r="B146" s="13"/>
    </row>
    <row r="147" spans="1:2">
      <c r="A147" s="26"/>
      <c r="B147" s="13"/>
    </row>
    <row r="148" spans="1:2">
      <c r="A148" s="26"/>
      <c r="B148" s="13"/>
    </row>
    <row r="149" spans="1:2">
      <c r="A149" s="26"/>
      <c r="B149" s="13"/>
    </row>
    <row r="150" spans="1:2">
      <c r="A150" s="26"/>
      <c r="B150" s="13"/>
    </row>
    <row r="151" spans="1:2">
      <c r="A151" s="26"/>
      <c r="B151" s="13"/>
    </row>
    <row r="152" spans="1:2">
      <c r="A152" s="26"/>
      <c r="B152" s="13"/>
    </row>
    <row r="153" spans="1:2">
      <c r="A153" s="26"/>
      <c r="B153" s="13"/>
    </row>
    <row r="154" spans="1:2">
      <c r="A154" s="26"/>
      <c r="B154" s="13"/>
    </row>
    <row r="155" spans="1:2">
      <c r="A155" s="26"/>
      <c r="B155" s="13"/>
    </row>
    <row r="156" spans="1:2">
      <c r="A156" s="26"/>
      <c r="B156" s="13"/>
    </row>
    <row r="157" spans="1:2">
      <c r="A157" s="26"/>
      <c r="B157" s="13"/>
    </row>
    <row r="158" spans="1:2">
      <c r="A158" s="26"/>
      <c r="B158" s="13"/>
    </row>
    <row r="159" spans="1:2">
      <c r="A159" s="26"/>
      <c r="B159" s="13"/>
    </row>
    <row r="160" spans="1:2">
      <c r="A160" s="26"/>
      <c r="B160" s="13"/>
    </row>
    <row r="161" spans="1:2">
      <c r="A161" s="26"/>
      <c r="B161" s="13"/>
    </row>
    <row r="162" spans="1:2">
      <c r="A162" s="26"/>
      <c r="B162" s="13"/>
    </row>
    <row r="163" spans="1:2">
      <c r="A163" s="26"/>
      <c r="B163" s="13"/>
    </row>
    <row r="164" spans="1:2">
      <c r="A164" s="26"/>
      <c r="B164" s="13"/>
    </row>
    <row r="165" spans="1:2">
      <c r="A165" s="26"/>
      <c r="B165" s="13"/>
    </row>
    <row r="166" spans="1:2">
      <c r="A166" s="26"/>
      <c r="B166" s="13"/>
    </row>
    <row r="167" spans="1:2">
      <c r="A167" s="26"/>
      <c r="B167" s="13"/>
    </row>
    <row r="168" spans="1:2">
      <c r="A168" s="26"/>
      <c r="B168" s="13"/>
    </row>
    <row r="169" spans="1:2">
      <c r="A169" s="26"/>
      <c r="B169" s="13"/>
    </row>
    <row r="170" spans="1:2">
      <c r="A170" s="26"/>
      <c r="B170" s="13"/>
    </row>
    <row r="171" spans="1:2">
      <c r="A171" s="26"/>
      <c r="B171" s="13"/>
    </row>
    <row r="172" spans="1:2">
      <c r="A172" s="26"/>
      <c r="B172" s="13"/>
    </row>
    <row r="173" spans="1:2">
      <c r="A173" s="26"/>
      <c r="B173" s="13"/>
    </row>
    <row r="174" spans="1:2">
      <c r="A174" s="26"/>
      <c r="B174" s="13"/>
    </row>
    <row r="175" spans="1:2">
      <c r="A175" s="26"/>
      <c r="B175" s="13"/>
    </row>
    <row r="176" spans="1:2">
      <c r="A176" s="26"/>
      <c r="B176" s="13"/>
    </row>
    <row r="177" spans="1:2">
      <c r="A177" s="26"/>
      <c r="B177" s="13"/>
    </row>
    <row r="178" spans="1:2">
      <c r="A178" s="26"/>
      <c r="B178" s="13"/>
    </row>
    <row r="179" spans="1:2">
      <c r="A179" s="26"/>
      <c r="B179" s="13"/>
    </row>
    <row r="180" spans="1:2">
      <c r="A180" s="26"/>
      <c r="B180" s="13"/>
    </row>
    <row r="181" spans="1:2">
      <c r="A181" s="26"/>
      <c r="B181" s="13"/>
    </row>
    <row r="182" spans="1:2">
      <c r="A182" s="26"/>
      <c r="B182" s="13"/>
    </row>
    <row r="183" spans="1:2">
      <c r="A183" s="26"/>
      <c r="B183" s="13"/>
    </row>
    <row r="184" spans="1:2">
      <c r="A184" s="26"/>
      <c r="B184" s="13"/>
    </row>
    <row r="185" spans="1:2">
      <c r="A185" s="26"/>
      <c r="B185" s="13"/>
    </row>
    <row r="186" spans="1:2">
      <c r="A186" s="26"/>
      <c r="B186" s="13"/>
    </row>
    <row r="187" spans="1:2">
      <c r="A187" s="26"/>
      <c r="B187" s="13"/>
    </row>
    <row r="188" spans="1:2">
      <c r="A188" s="26"/>
      <c r="B188" s="13"/>
    </row>
    <row r="189" spans="1:2">
      <c r="A189" s="26"/>
      <c r="B189" s="13"/>
    </row>
    <row r="190" spans="1:2">
      <c r="A190" s="26"/>
      <c r="B190" s="13"/>
    </row>
    <row r="191" spans="1:2">
      <c r="A191" s="26"/>
      <c r="B191" s="13"/>
    </row>
    <row r="192" spans="1:2">
      <c r="A192" s="26"/>
      <c r="B192" s="13"/>
    </row>
    <row r="193" spans="1:2">
      <c r="A193" s="26"/>
      <c r="B193" s="13"/>
    </row>
    <row r="194" spans="1:2">
      <c r="A194" s="26"/>
      <c r="B194" s="13"/>
    </row>
    <row r="195" spans="1:2">
      <c r="A195" s="26"/>
      <c r="B195" s="13"/>
    </row>
    <row r="196" spans="1:2">
      <c r="A196" s="26"/>
      <c r="B196" s="13"/>
    </row>
    <row r="197" spans="1:2">
      <c r="A197" s="26"/>
      <c r="B197" s="13"/>
    </row>
    <row r="198" spans="1:2">
      <c r="A198" s="26"/>
      <c r="B198" s="13"/>
    </row>
    <row r="199" spans="1:2">
      <c r="A199" s="26"/>
      <c r="B199" s="13"/>
    </row>
    <row r="200" spans="1:2">
      <c r="A200" s="26"/>
      <c r="B200" s="13"/>
    </row>
    <row r="201" spans="1:2">
      <c r="A201" s="26"/>
      <c r="B201" s="13"/>
    </row>
    <row r="202" spans="1:2">
      <c r="A202" s="26"/>
      <c r="B202" s="13"/>
    </row>
    <row r="203" spans="1:2">
      <c r="A203" s="26"/>
      <c r="B203" s="13"/>
    </row>
    <row r="204" spans="1:2">
      <c r="A204" s="26"/>
      <c r="B204" s="13"/>
    </row>
    <row r="205" spans="1:2">
      <c r="A205" s="26"/>
      <c r="B205" s="13"/>
    </row>
    <row r="206" spans="1:2">
      <c r="A206" s="26"/>
      <c r="B206" s="13"/>
    </row>
    <row r="207" spans="1:2">
      <c r="A207" s="26"/>
      <c r="B207" s="13"/>
    </row>
    <row r="208" spans="1:2">
      <c r="A208" s="26"/>
      <c r="B208" s="13"/>
    </row>
    <row r="209" spans="1:2">
      <c r="A209" s="26"/>
      <c r="B209" s="13"/>
    </row>
    <row r="210" spans="1:2">
      <c r="A210" s="26"/>
      <c r="B210" s="13"/>
    </row>
    <row r="211" spans="1:2">
      <c r="A211" s="26"/>
      <c r="B211" s="13"/>
    </row>
    <row r="212" spans="1:2">
      <c r="A212" s="26"/>
      <c r="B212" s="13"/>
    </row>
    <row r="213" spans="1:2">
      <c r="A213" s="26"/>
      <c r="B213" s="13"/>
    </row>
    <row r="214" spans="1:2">
      <c r="A214" s="26"/>
      <c r="B214" s="13"/>
    </row>
    <row r="215" spans="1:2">
      <c r="A215" s="26"/>
      <c r="B215" s="13"/>
    </row>
    <row r="216" spans="1:2">
      <c r="A216" s="26"/>
      <c r="B216" s="13"/>
    </row>
    <row r="217" spans="1:2">
      <c r="A217" s="26"/>
      <c r="B217" s="13"/>
    </row>
    <row r="218" spans="1:2">
      <c r="A218" s="26"/>
      <c r="B218" s="13"/>
    </row>
    <row r="219" spans="1:2">
      <c r="A219" s="26"/>
      <c r="B219" s="13"/>
    </row>
    <row r="220" spans="1:2">
      <c r="A220" s="26"/>
      <c r="B220" s="13"/>
    </row>
    <row r="221" spans="1:2">
      <c r="A221" s="26"/>
      <c r="B221" s="13"/>
    </row>
    <row r="222" spans="1:2">
      <c r="A222" s="26"/>
      <c r="B222" s="13"/>
    </row>
    <row r="223" spans="1:2">
      <c r="A223" s="26"/>
      <c r="B223" s="13"/>
    </row>
    <row r="224" spans="1:2">
      <c r="A224" s="26"/>
      <c r="B224" s="13"/>
    </row>
    <row r="225" spans="1:2">
      <c r="A225" s="26"/>
      <c r="B225" s="13"/>
    </row>
  </sheetData>
  <mergeCells count="1">
    <mergeCell ref="A141:U141"/>
  </mergeCells>
  <pageMargins left="0.45" right="0.45" top="0.75" bottom="0.5" header="0.3" footer="0.3"/>
  <pageSetup paperSize="5" scale="52" fitToHeight="3" orientation="landscape" r:id="rId1"/>
  <rowBreaks count="1" manualBreakCount="1">
    <brk id="79" max="2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95"/>
  <sheetViews>
    <sheetView showGridLines="0" workbookViewId="0">
      <pane xSplit="1" ySplit="4" topLeftCell="H5" activePane="bottomRight" state="frozen"/>
      <selection activeCell="T52" sqref="T52"/>
      <selection pane="topRight" activeCell="T52" sqref="T52"/>
      <selection pane="bottomLeft" activeCell="T52" sqref="T52"/>
      <selection pane="bottomRight" activeCell="W5" sqref="W5"/>
    </sheetView>
  </sheetViews>
  <sheetFormatPr defaultColWidth="9.109375" defaultRowHeight="14.4" outlineLevelCol="1"/>
  <cols>
    <col min="1" max="1" width="46.5546875" style="7" customWidth="1"/>
    <col min="2" max="5" width="9.109375" style="7" customWidth="1" outlineLevel="1"/>
    <col min="6" max="6" width="9.33203125" style="65" bestFit="1" customWidth="1"/>
    <col min="7" max="7" width="9.33203125" style="65" bestFit="1" customWidth="1" outlineLevel="1"/>
    <col min="8" max="9" width="9.33203125" style="2" bestFit="1" customWidth="1" outlineLevel="1"/>
    <col min="10" max="10" width="10.33203125" style="2" bestFit="1" customWidth="1" outlineLevel="1"/>
    <col min="11" max="11" width="9.88671875" style="65" customWidth="1"/>
    <col min="12" max="12" width="9.33203125" style="65" bestFit="1" customWidth="1" outlineLevel="1"/>
    <col min="13" max="13" width="10.33203125" style="2" customWidth="1" outlineLevel="1"/>
    <col min="14" max="15" width="10.33203125" style="2" bestFit="1" customWidth="1" outlineLevel="1"/>
    <col min="16" max="16" width="10" style="65" customWidth="1"/>
    <col min="17" max="17" width="9.33203125" style="65" bestFit="1" customWidth="1" outlineLevel="1"/>
    <col min="18" max="18" width="10.33203125" style="2" customWidth="1" outlineLevel="1"/>
    <col min="19" max="19" width="10.33203125" style="2" bestFit="1" customWidth="1" outlineLevel="1"/>
    <col min="20" max="20" width="11" style="2" customWidth="1" outlineLevel="1"/>
    <col min="21" max="21" width="11.109375" style="2" customWidth="1"/>
    <col min="22" max="16384" width="9.109375" style="2"/>
  </cols>
  <sheetData>
    <row r="1" spans="1:21">
      <c r="A1" s="184" t="s">
        <v>247</v>
      </c>
      <c r="B1" s="26"/>
      <c r="C1" s="26"/>
      <c r="D1" s="26"/>
      <c r="E1" s="26"/>
      <c r="F1" s="13"/>
      <c r="G1" s="13"/>
      <c r="H1" s="13"/>
      <c r="I1" s="13"/>
      <c r="J1" s="13"/>
      <c r="K1" s="13"/>
      <c r="L1" s="13"/>
      <c r="M1" s="13"/>
      <c r="N1" s="13"/>
      <c r="O1" s="13"/>
      <c r="P1" s="13"/>
      <c r="Q1" s="13"/>
      <c r="R1" s="13"/>
      <c r="S1" s="13"/>
      <c r="T1" s="13"/>
    </row>
    <row r="2" spans="1:21">
      <c r="A2" s="85" t="s">
        <v>207</v>
      </c>
      <c r="B2" s="171" t="s">
        <v>99</v>
      </c>
      <c r="C2" s="171" t="s">
        <v>99</v>
      </c>
      <c r="D2" s="171" t="s">
        <v>99</v>
      </c>
      <c r="E2" s="172"/>
      <c r="F2" s="74"/>
      <c r="G2" s="171" t="s">
        <v>99</v>
      </c>
      <c r="H2" s="171" t="s">
        <v>99</v>
      </c>
      <c r="I2" s="74"/>
      <c r="J2" s="74"/>
      <c r="K2" s="74"/>
      <c r="L2" s="74"/>
      <c r="M2" s="74"/>
      <c r="N2" s="74"/>
      <c r="O2" s="74"/>
      <c r="P2" s="74"/>
      <c r="Q2" s="74"/>
      <c r="R2" s="74"/>
      <c r="S2" s="74"/>
      <c r="T2" s="13"/>
    </row>
    <row r="3" spans="1:21" s="19" customFormat="1">
      <c r="A3" s="173"/>
      <c r="B3" s="108" t="s">
        <v>43</v>
      </c>
      <c r="C3" s="108" t="s">
        <v>46</v>
      </c>
      <c r="D3" s="108" t="s">
        <v>45</v>
      </c>
      <c r="E3" s="108" t="s">
        <v>44</v>
      </c>
      <c r="F3" s="246">
        <v>2014</v>
      </c>
      <c r="G3" s="246" t="s">
        <v>39</v>
      </c>
      <c r="H3" s="108" t="s">
        <v>42</v>
      </c>
      <c r="I3" s="108" t="s">
        <v>41</v>
      </c>
      <c r="J3" s="108" t="s">
        <v>40</v>
      </c>
      <c r="K3" s="246">
        <v>2015</v>
      </c>
      <c r="L3" s="246" t="s">
        <v>38</v>
      </c>
      <c r="M3" s="108" t="s">
        <v>37</v>
      </c>
      <c r="N3" s="108" t="s">
        <v>36</v>
      </c>
      <c r="O3" s="108" t="s">
        <v>35</v>
      </c>
      <c r="P3" s="246">
        <v>2016</v>
      </c>
      <c r="Q3" s="246" t="s">
        <v>34</v>
      </c>
      <c r="R3" s="108" t="s">
        <v>33</v>
      </c>
      <c r="S3" s="108" t="s">
        <v>52</v>
      </c>
      <c r="T3" s="108" t="s">
        <v>256</v>
      </c>
      <c r="U3" s="246">
        <v>2017</v>
      </c>
    </row>
    <row r="4" spans="1:21" s="421" customFormat="1">
      <c r="A4" s="454" t="s">
        <v>214</v>
      </c>
      <c r="B4" s="472"/>
      <c r="C4" s="472"/>
      <c r="D4" s="472"/>
      <c r="E4" s="472"/>
      <c r="F4" s="473"/>
      <c r="G4" s="473"/>
      <c r="H4" s="472"/>
      <c r="I4" s="472"/>
      <c r="J4" s="472"/>
      <c r="K4" s="473"/>
      <c r="L4" s="473"/>
      <c r="M4" s="472"/>
      <c r="N4" s="472"/>
      <c r="O4" s="472"/>
      <c r="P4" s="473"/>
      <c r="Q4" s="473"/>
      <c r="R4" s="472"/>
      <c r="S4" s="472"/>
      <c r="T4" s="472"/>
      <c r="U4" s="473"/>
    </row>
    <row r="5" spans="1:21">
      <c r="A5" s="175" t="s">
        <v>103</v>
      </c>
      <c r="B5" s="162">
        <v>428.2</v>
      </c>
      <c r="C5" s="162">
        <v>381.9</v>
      </c>
      <c r="D5" s="162">
        <v>615.4</v>
      </c>
      <c r="E5" s="162">
        <v>740.9</v>
      </c>
      <c r="F5" s="402">
        <v>740.9</v>
      </c>
      <c r="G5" s="402">
        <v>379</v>
      </c>
      <c r="H5" s="162">
        <v>336.4</v>
      </c>
      <c r="I5" s="162">
        <v>440.4</v>
      </c>
      <c r="J5" s="162">
        <v>540.4</v>
      </c>
      <c r="K5" s="402">
        <f>+J5</f>
        <v>540.4</v>
      </c>
      <c r="L5" s="402">
        <v>489.2</v>
      </c>
      <c r="M5" s="162">
        <v>431.8</v>
      </c>
      <c r="N5" s="162">
        <v>446.3</v>
      </c>
      <c r="O5" s="162">
        <v>762.57600000000002</v>
      </c>
      <c r="P5" s="402">
        <f>+O5</f>
        <v>762.57600000000002</v>
      </c>
      <c r="Q5" s="402">
        <v>533.29999999999995</v>
      </c>
      <c r="R5" s="162">
        <v>535.68100000000004</v>
      </c>
      <c r="S5" s="174">
        <v>955.6</v>
      </c>
      <c r="T5" s="174">
        <v>751.8</v>
      </c>
      <c r="U5" s="402">
        <f>+T5</f>
        <v>751.8</v>
      </c>
    </row>
    <row r="6" spans="1:21">
      <c r="A6" s="175" t="s">
        <v>104</v>
      </c>
      <c r="B6" s="162">
        <v>50.8</v>
      </c>
      <c r="C6" s="162">
        <v>47</v>
      </c>
      <c r="D6" s="162">
        <v>55.6</v>
      </c>
      <c r="E6" s="162">
        <v>28.1</v>
      </c>
      <c r="F6" s="402">
        <v>28.1</v>
      </c>
      <c r="G6" s="402">
        <v>56.7</v>
      </c>
      <c r="H6" s="162">
        <v>66</v>
      </c>
      <c r="I6" s="162">
        <v>67.2</v>
      </c>
      <c r="J6" s="162">
        <v>72.8</v>
      </c>
      <c r="K6" s="402">
        <f t="shared" ref="K6:K12" si="0">+J6</f>
        <v>72.8</v>
      </c>
      <c r="L6" s="402">
        <v>63.4</v>
      </c>
      <c r="M6" s="162">
        <v>70.5</v>
      </c>
      <c r="N6" s="162">
        <v>70.8</v>
      </c>
      <c r="O6" s="162">
        <v>68.835999999999999</v>
      </c>
      <c r="P6" s="402">
        <f t="shared" ref="P6:P12" si="1">+O6</f>
        <v>68.835999999999999</v>
      </c>
      <c r="Q6" s="402">
        <v>59.1</v>
      </c>
      <c r="R6" s="162">
        <v>74.72</v>
      </c>
      <c r="S6" s="174">
        <v>84.8</v>
      </c>
      <c r="T6" s="174">
        <v>73</v>
      </c>
      <c r="U6" s="402">
        <f t="shared" ref="U6:U12" si="2">+T6</f>
        <v>73</v>
      </c>
    </row>
    <row r="7" spans="1:21">
      <c r="A7" s="175" t="s">
        <v>53</v>
      </c>
      <c r="B7" s="162">
        <v>1415.4</v>
      </c>
      <c r="C7" s="162">
        <v>1638.2</v>
      </c>
      <c r="D7" s="162">
        <v>1608.6</v>
      </c>
      <c r="E7" s="162">
        <v>1736.2</v>
      </c>
      <c r="F7" s="402">
        <v>1736.2</v>
      </c>
      <c r="G7" s="402">
        <v>1537.1</v>
      </c>
      <c r="H7" s="162">
        <v>1604.6</v>
      </c>
      <c r="I7" s="162">
        <v>2275</v>
      </c>
      <c r="J7" s="162">
        <v>2471.6999999999998</v>
      </c>
      <c r="K7" s="402">
        <f t="shared" si="0"/>
        <v>2471.6999999999998</v>
      </c>
      <c r="L7" s="402">
        <v>2344.8000000000002</v>
      </c>
      <c r="M7" s="162">
        <v>2373.1999999999998</v>
      </c>
      <c r="N7" s="162">
        <v>2399.1999999999998</v>
      </c>
      <c r="O7" s="162">
        <v>2605.6019999999999</v>
      </c>
      <c r="P7" s="402">
        <f t="shared" si="1"/>
        <v>2605.6019999999999</v>
      </c>
      <c r="Q7" s="402">
        <v>2499.1</v>
      </c>
      <c r="R7" s="162">
        <v>2653.346</v>
      </c>
      <c r="S7" s="174">
        <v>2843.1</v>
      </c>
      <c r="T7" s="174">
        <v>3207.3</v>
      </c>
      <c r="U7" s="402">
        <f t="shared" si="2"/>
        <v>3207.3</v>
      </c>
    </row>
    <row r="8" spans="1:21">
      <c r="A8" s="175" t="s">
        <v>105</v>
      </c>
      <c r="B8" s="162">
        <v>310.7</v>
      </c>
      <c r="C8" s="162">
        <v>739.6</v>
      </c>
      <c r="D8" s="162">
        <v>638.1</v>
      </c>
      <c r="E8" s="162">
        <v>506.3</v>
      </c>
      <c r="F8" s="402">
        <v>506.3</v>
      </c>
      <c r="G8" s="402">
        <v>1080.4000000000001</v>
      </c>
      <c r="H8" s="162">
        <v>750.8</v>
      </c>
      <c r="I8" s="162">
        <v>585.9</v>
      </c>
      <c r="J8" s="162">
        <v>1767.1</v>
      </c>
      <c r="K8" s="402">
        <f t="shared" si="0"/>
        <v>1767.1</v>
      </c>
      <c r="L8" s="402">
        <v>724.5</v>
      </c>
      <c r="M8" s="162">
        <v>847.7</v>
      </c>
      <c r="N8" s="162">
        <v>1642.4</v>
      </c>
      <c r="O8" s="162">
        <v>1276.047</v>
      </c>
      <c r="P8" s="402">
        <f t="shared" si="1"/>
        <v>1276.047</v>
      </c>
      <c r="Q8" s="402">
        <v>685.1</v>
      </c>
      <c r="R8" s="162">
        <v>1069.8889999999999</v>
      </c>
      <c r="S8" s="174">
        <v>1434.9</v>
      </c>
      <c r="T8" s="174">
        <v>928</v>
      </c>
      <c r="U8" s="402">
        <f t="shared" si="2"/>
        <v>928</v>
      </c>
    </row>
    <row r="9" spans="1:21">
      <c r="A9" s="175" t="s">
        <v>106</v>
      </c>
      <c r="B9" s="162">
        <v>446.7</v>
      </c>
      <c r="C9" s="162">
        <v>455.3</v>
      </c>
      <c r="D9" s="162">
        <v>455.9</v>
      </c>
      <c r="E9" s="162">
        <v>497.9</v>
      </c>
      <c r="F9" s="402">
        <v>497.9</v>
      </c>
      <c r="G9" s="402">
        <v>479.7</v>
      </c>
      <c r="H9" s="162">
        <v>484</v>
      </c>
      <c r="I9" s="162">
        <v>503.7</v>
      </c>
      <c r="J9" s="162">
        <v>529.79999999999995</v>
      </c>
      <c r="K9" s="402">
        <f t="shared" si="0"/>
        <v>529.79999999999995</v>
      </c>
      <c r="L9" s="402">
        <v>528.4</v>
      </c>
      <c r="M9" s="162">
        <v>533.6</v>
      </c>
      <c r="N9" s="162">
        <v>550.79999999999995</v>
      </c>
      <c r="O9" s="162">
        <v>560.75599999999997</v>
      </c>
      <c r="P9" s="402">
        <f t="shared" si="1"/>
        <v>560.75599999999997</v>
      </c>
      <c r="Q9" s="402">
        <v>551.6</v>
      </c>
      <c r="R9" s="162">
        <v>556.48</v>
      </c>
      <c r="S9" s="174">
        <v>574.29999999999995</v>
      </c>
      <c r="T9" s="174">
        <v>617.70000000000005</v>
      </c>
      <c r="U9" s="402">
        <f t="shared" si="2"/>
        <v>617.70000000000005</v>
      </c>
    </row>
    <row r="10" spans="1:21">
      <c r="A10" s="175" t="s">
        <v>107</v>
      </c>
      <c r="B10" s="162">
        <v>3134.9</v>
      </c>
      <c r="C10" s="162">
        <v>3151.6</v>
      </c>
      <c r="D10" s="162">
        <v>3130.3</v>
      </c>
      <c r="E10" s="162">
        <v>3136.2</v>
      </c>
      <c r="F10" s="402">
        <v>3136.2</v>
      </c>
      <c r="G10" s="402">
        <v>3056</v>
      </c>
      <c r="H10" s="162">
        <v>3119.9</v>
      </c>
      <c r="I10" s="162">
        <v>4524.2</v>
      </c>
      <c r="J10" s="162">
        <v>4536.5</v>
      </c>
      <c r="K10" s="402">
        <f t="shared" si="0"/>
        <v>4536.5</v>
      </c>
      <c r="L10" s="402">
        <v>4550.2</v>
      </c>
      <c r="M10" s="162">
        <v>4457.3</v>
      </c>
      <c r="N10" s="162">
        <v>4459.8999999999996</v>
      </c>
      <c r="O10" s="162">
        <v>4392.4309999999996</v>
      </c>
      <c r="P10" s="402">
        <f t="shared" si="1"/>
        <v>4392.4309999999996</v>
      </c>
      <c r="Q10" s="402">
        <v>4422.8</v>
      </c>
      <c r="R10" s="162">
        <v>4494.7370000000001</v>
      </c>
      <c r="S10" s="174">
        <v>4535.8999999999996</v>
      </c>
      <c r="T10" s="174">
        <v>4653.8999999999996</v>
      </c>
      <c r="U10" s="402">
        <f t="shared" si="2"/>
        <v>4653.8999999999996</v>
      </c>
    </row>
    <row r="11" spans="1:21" ht="27.6">
      <c r="A11" s="175" t="s">
        <v>108</v>
      </c>
      <c r="B11" s="162">
        <v>201.6</v>
      </c>
      <c r="C11" s="162">
        <v>214.4</v>
      </c>
      <c r="D11" s="162">
        <v>219.4</v>
      </c>
      <c r="E11" s="162">
        <v>218.3</v>
      </c>
      <c r="F11" s="402">
        <v>218.3</v>
      </c>
      <c r="G11" s="402">
        <v>209.8</v>
      </c>
      <c r="H11" s="162">
        <v>222.5</v>
      </c>
      <c r="I11" s="162">
        <v>231.9</v>
      </c>
      <c r="J11" s="162">
        <v>217.9</v>
      </c>
      <c r="K11" s="402">
        <f t="shared" si="0"/>
        <v>217.9</v>
      </c>
      <c r="L11" s="402">
        <v>220.5</v>
      </c>
      <c r="M11" s="162">
        <v>226.7</v>
      </c>
      <c r="N11" s="162">
        <v>249.9</v>
      </c>
      <c r="O11" s="162">
        <v>232.238</v>
      </c>
      <c r="P11" s="402">
        <f t="shared" si="1"/>
        <v>232.238</v>
      </c>
      <c r="Q11" s="402">
        <v>242.5</v>
      </c>
      <c r="R11" s="162">
        <v>246.715</v>
      </c>
      <c r="S11" s="174">
        <v>233.6</v>
      </c>
      <c r="T11" s="174">
        <v>238</v>
      </c>
      <c r="U11" s="402">
        <f t="shared" si="2"/>
        <v>238</v>
      </c>
    </row>
    <row r="12" spans="1:21" s="19" customFormat="1">
      <c r="A12" s="363" t="s">
        <v>109</v>
      </c>
      <c r="B12" s="406">
        <f>6843.4-B5-B6-B7-B8-B9-B10-B11</f>
        <v>855.10000000000025</v>
      </c>
      <c r="C12" s="406">
        <f>7471.8-C5-C6-C7-C8-C9-C10-C11</f>
        <v>843.8000000000003</v>
      </c>
      <c r="D12" s="406">
        <f>7529.9-D5-D6-D7-D8-D9-D10-D11</f>
        <v>806.59999999999911</v>
      </c>
      <c r="E12" s="406">
        <f>7568-E5-E6-E7-E8-E9-E10-E11</f>
        <v>704.10000000000014</v>
      </c>
      <c r="F12" s="407">
        <f>7568-F5-F6-F7-F8-F9-F10-F11</f>
        <v>704.10000000000014</v>
      </c>
      <c r="G12" s="407">
        <f>7625.6-G5-G6-G7-G8-G9-G10-G11</f>
        <v>826.90000000000168</v>
      </c>
      <c r="H12" s="406">
        <f>7460.2-H5-H6-H7-H8-H9-H10-H11</f>
        <v>876.00000000000045</v>
      </c>
      <c r="I12" s="406">
        <f>9555.5-I5-I6-I7-I8-I9-I10-I11</f>
        <v>927.20000000000039</v>
      </c>
      <c r="J12" s="406">
        <f>11017.9-J5-J6-J7-J8-J9-J10-J11</f>
        <v>881.7000000000013</v>
      </c>
      <c r="K12" s="407">
        <f t="shared" si="0"/>
        <v>881.7000000000013</v>
      </c>
      <c r="L12" s="407">
        <f>9835.1-L5-L6-L7-L8-L9-L10-L11</f>
        <v>914.10000000000036</v>
      </c>
      <c r="M12" s="406">
        <f>9922.6-M5-M6-M7-M8-M9-M10-M11</f>
        <v>981.80000000000086</v>
      </c>
      <c r="N12" s="406">
        <f>10776.8-N5-N6-N7-N8-N9-N10-N11</f>
        <v>957.50000000000057</v>
      </c>
      <c r="O12" s="406">
        <f>10779.6-O5-O6-O7-O8-O9-O10-O11</f>
        <v>881.11400000000253</v>
      </c>
      <c r="P12" s="407">
        <f t="shared" si="1"/>
        <v>881.11400000000253</v>
      </c>
      <c r="Q12" s="407">
        <f>9927.1-Q5-Q6-Q7-Q8-Q9-Q10-Q11</f>
        <v>933.59999999999945</v>
      </c>
      <c r="R12" s="406">
        <f>10606.2-R5-R6-R7-R8-R9-R10-R11</f>
        <v>974.63200000000063</v>
      </c>
      <c r="S12" s="164">
        <v>989.8</v>
      </c>
      <c r="T12" s="164">
        <v>1014.1</v>
      </c>
      <c r="U12" s="407">
        <f t="shared" si="2"/>
        <v>1014.1</v>
      </c>
    </row>
    <row r="13" spans="1:21">
      <c r="A13" s="362" t="s">
        <v>54</v>
      </c>
      <c r="B13" s="404">
        <f t="shared" ref="B13:S13" si="3">SUM(B5:B12)</f>
        <v>6843.4000000000005</v>
      </c>
      <c r="C13" s="404">
        <f t="shared" si="3"/>
        <v>7471.8</v>
      </c>
      <c r="D13" s="404">
        <f t="shared" si="3"/>
        <v>7529.8999999999987</v>
      </c>
      <c r="E13" s="404">
        <f t="shared" si="3"/>
        <v>7568.0000000000009</v>
      </c>
      <c r="F13" s="405">
        <f t="shared" si="3"/>
        <v>7568.0000000000009</v>
      </c>
      <c r="G13" s="405">
        <f t="shared" si="3"/>
        <v>7625.6000000000013</v>
      </c>
      <c r="H13" s="404">
        <f t="shared" si="3"/>
        <v>7460.2000000000007</v>
      </c>
      <c r="I13" s="404">
        <f t="shared" si="3"/>
        <v>9555.5</v>
      </c>
      <c r="J13" s="404">
        <f t="shared" si="3"/>
        <v>11017.9</v>
      </c>
      <c r="K13" s="405">
        <f t="shared" si="3"/>
        <v>11017.9</v>
      </c>
      <c r="L13" s="405">
        <f t="shared" si="3"/>
        <v>9835.1</v>
      </c>
      <c r="M13" s="404">
        <f t="shared" si="3"/>
        <v>9922.6000000000022</v>
      </c>
      <c r="N13" s="404">
        <f t="shared" si="3"/>
        <v>10776.8</v>
      </c>
      <c r="O13" s="404">
        <f t="shared" si="3"/>
        <v>10779.600000000002</v>
      </c>
      <c r="P13" s="405">
        <f t="shared" si="3"/>
        <v>10779.600000000002</v>
      </c>
      <c r="Q13" s="405">
        <f t="shared" si="3"/>
        <v>9927.0999999999985</v>
      </c>
      <c r="R13" s="404">
        <f t="shared" si="3"/>
        <v>10606.2</v>
      </c>
      <c r="S13" s="404">
        <f t="shared" si="3"/>
        <v>11651.999999999998</v>
      </c>
      <c r="T13" s="404">
        <f t="shared" ref="T13:U13" si="4">SUM(T5:T12)</f>
        <v>11483.800000000001</v>
      </c>
      <c r="U13" s="405">
        <f t="shared" si="4"/>
        <v>11483.800000000001</v>
      </c>
    </row>
    <row r="14" spans="1:21">
      <c r="A14" s="175"/>
      <c r="B14" s="162"/>
      <c r="C14" s="162"/>
      <c r="D14" s="162"/>
      <c r="E14" s="162"/>
      <c r="F14" s="402"/>
      <c r="G14" s="402"/>
      <c r="H14" s="162"/>
      <c r="I14" s="162"/>
      <c r="J14" s="162"/>
      <c r="K14" s="402"/>
      <c r="L14" s="402"/>
      <c r="M14" s="162"/>
      <c r="N14" s="162"/>
      <c r="O14" s="162"/>
      <c r="P14" s="402"/>
      <c r="Q14" s="402"/>
      <c r="R14" s="162"/>
      <c r="S14" s="174"/>
      <c r="T14" s="174"/>
      <c r="U14" s="402"/>
    </row>
    <row r="15" spans="1:21" s="421" customFormat="1">
      <c r="A15" s="454" t="s">
        <v>213</v>
      </c>
      <c r="B15" s="472"/>
      <c r="C15" s="472"/>
      <c r="D15" s="472"/>
      <c r="E15" s="472"/>
      <c r="F15" s="473"/>
      <c r="G15" s="473"/>
      <c r="H15" s="472"/>
      <c r="I15" s="472"/>
      <c r="J15" s="472"/>
      <c r="K15" s="473"/>
      <c r="L15" s="473"/>
      <c r="M15" s="472"/>
      <c r="N15" s="472"/>
      <c r="O15" s="472"/>
      <c r="P15" s="473"/>
      <c r="Q15" s="473"/>
      <c r="R15" s="472"/>
      <c r="S15" s="472"/>
      <c r="T15" s="472"/>
      <c r="U15" s="473"/>
    </row>
    <row r="16" spans="1:21">
      <c r="A16" s="175" t="s">
        <v>110</v>
      </c>
      <c r="B16" s="162">
        <v>1607.2</v>
      </c>
      <c r="C16" s="162">
        <v>1724.2</v>
      </c>
      <c r="D16" s="162">
        <v>1791.1</v>
      </c>
      <c r="E16" s="162">
        <v>2380.3000000000002</v>
      </c>
      <c r="F16" s="402">
        <v>2380.3000000000002</v>
      </c>
      <c r="G16" s="402">
        <v>1758.5</v>
      </c>
      <c r="H16" s="162">
        <v>1834.8</v>
      </c>
      <c r="I16" s="162">
        <v>2573.1</v>
      </c>
      <c r="J16" s="162">
        <v>3208.9</v>
      </c>
      <c r="K16" s="402">
        <f>+J16</f>
        <v>3208.9</v>
      </c>
      <c r="L16" s="402">
        <v>2662</v>
      </c>
      <c r="M16" s="162">
        <v>2704.8</v>
      </c>
      <c r="N16" s="162">
        <v>2819.7</v>
      </c>
      <c r="O16" s="162">
        <v>3270.7489999999998</v>
      </c>
      <c r="P16" s="402">
        <f>+O16</f>
        <v>3270.7489999999998</v>
      </c>
      <c r="Q16" s="402">
        <v>2681.7</v>
      </c>
      <c r="R16" s="162">
        <v>2742.5529999999999</v>
      </c>
      <c r="S16" s="174">
        <f>3112.1+23</f>
        <v>3135.1</v>
      </c>
      <c r="T16" s="174">
        <v>3695.9</v>
      </c>
      <c r="U16" s="402">
        <f>+T16</f>
        <v>3695.9</v>
      </c>
    </row>
    <row r="17" spans="1:21" ht="43.2" customHeight="1">
      <c r="A17" s="175" t="s">
        <v>209</v>
      </c>
      <c r="B17" s="165">
        <v>306.60000000000002</v>
      </c>
      <c r="C17" s="165">
        <v>731.5</v>
      </c>
      <c r="D17" s="165">
        <v>631.79999999999995</v>
      </c>
      <c r="E17" s="166">
        <v>501.2</v>
      </c>
      <c r="F17" s="403">
        <v>501.2</v>
      </c>
      <c r="G17" s="403">
        <v>1065.9000000000001</v>
      </c>
      <c r="H17" s="166">
        <v>743.6</v>
      </c>
      <c r="I17" s="166">
        <v>578.4</v>
      </c>
      <c r="J17" s="166">
        <v>1750.8</v>
      </c>
      <c r="K17" s="403">
        <f t="shared" ref="K17:K22" si="5">+J17</f>
        <v>1750.8</v>
      </c>
      <c r="L17" s="403">
        <v>714.4</v>
      </c>
      <c r="M17" s="166">
        <v>839.3</v>
      </c>
      <c r="N17" s="166">
        <v>1619.1</v>
      </c>
      <c r="O17" s="166">
        <v>1254.653</v>
      </c>
      <c r="P17" s="403">
        <f t="shared" ref="P17:P22" si="6">+O17</f>
        <v>1254.653</v>
      </c>
      <c r="Q17" s="403">
        <v>671.5</v>
      </c>
      <c r="R17" s="166">
        <v>1054.97</v>
      </c>
      <c r="S17" s="176">
        <v>1416.3</v>
      </c>
      <c r="T17" s="176">
        <v>910.8</v>
      </c>
      <c r="U17" s="403">
        <f t="shared" ref="U17:U22" si="7">+T17</f>
        <v>910.8</v>
      </c>
    </row>
    <row r="18" spans="1:21" ht="14.55" customHeight="1">
      <c r="A18" s="175" t="s">
        <v>111</v>
      </c>
      <c r="B18" s="165">
        <v>359.5</v>
      </c>
      <c r="C18" s="165">
        <v>336</v>
      </c>
      <c r="D18" s="165">
        <v>149.19999999999999</v>
      </c>
      <c r="E18" s="166">
        <v>4.8</v>
      </c>
      <c r="F18" s="403">
        <v>4.8</v>
      </c>
      <c r="G18" s="403">
        <v>110</v>
      </c>
      <c r="H18" s="166">
        <v>0</v>
      </c>
      <c r="I18" s="166">
        <v>400.5</v>
      </c>
      <c r="J18" s="166">
        <v>0</v>
      </c>
      <c r="K18" s="403"/>
      <c r="L18" s="403">
        <v>280</v>
      </c>
      <c r="M18" s="166">
        <v>156</v>
      </c>
      <c r="N18" s="166">
        <v>83</v>
      </c>
      <c r="O18" s="166">
        <v>0</v>
      </c>
      <c r="P18" s="402">
        <f t="shared" si="6"/>
        <v>0</v>
      </c>
      <c r="Q18" s="403">
        <v>120</v>
      </c>
      <c r="R18" s="166">
        <v>0</v>
      </c>
      <c r="S18" s="174">
        <v>0</v>
      </c>
      <c r="T18" s="174">
        <v>0</v>
      </c>
      <c r="U18" s="402">
        <f t="shared" si="7"/>
        <v>0</v>
      </c>
    </row>
    <row r="19" spans="1:21">
      <c r="A19" s="175" t="s">
        <v>112</v>
      </c>
      <c r="B19" s="162">
        <v>675.4</v>
      </c>
      <c r="C19" s="162">
        <v>665.4</v>
      </c>
      <c r="D19" s="162">
        <v>655.5</v>
      </c>
      <c r="E19" s="162">
        <v>638.1</v>
      </c>
      <c r="F19" s="402">
        <v>638.1</v>
      </c>
      <c r="G19" s="402">
        <v>500</v>
      </c>
      <c r="H19" s="162">
        <v>496.9</v>
      </c>
      <c r="I19" s="162">
        <v>883.3</v>
      </c>
      <c r="J19" s="162">
        <v>877.9</v>
      </c>
      <c r="K19" s="402">
        <f t="shared" si="5"/>
        <v>877.9</v>
      </c>
      <c r="L19" s="402">
        <v>872.9</v>
      </c>
      <c r="M19" s="162">
        <v>864.8</v>
      </c>
      <c r="N19" s="162">
        <v>856.7</v>
      </c>
      <c r="O19" s="162">
        <v>744.33199999999999</v>
      </c>
      <c r="P19" s="402">
        <f t="shared" si="6"/>
        <v>744.33199999999999</v>
      </c>
      <c r="Q19" s="402">
        <v>744.9</v>
      </c>
      <c r="R19" s="162">
        <v>745.46100000000001</v>
      </c>
      <c r="S19" s="174">
        <v>746</v>
      </c>
      <c r="T19" s="174">
        <v>193.5</v>
      </c>
      <c r="U19" s="402">
        <f t="shared" si="7"/>
        <v>193.5</v>
      </c>
    </row>
    <row r="20" spans="1:21">
      <c r="A20" s="175" t="s">
        <v>113</v>
      </c>
      <c r="B20" s="162">
        <v>1150</v>
      </c>
      <c r="C20" s="162">
        <v>1150</v>
      </c>
      <c r="D20" s="162">
        <v>1450</v>
      </c>
      <c r="E20" s="162">
        <v>1210.2</v>
      </c>
      <c r="F20" s="402">
        <v>1210.2</v>
      </c>
      <c r="G20" s="402">
        <v>1226.8</v>
      </c>
      <c r="H20" s="162">
        <v>1226.8</v>
      </c>
      <c r="I20" s="162">
        <v>1801.1</v>
      </c>
      <c r="J20" s="162">
        <v>1801.6</v>
      </c>
      <c r="K20" s="402">
        <f t="shared" si="5"/>
        <v>1801.6</v>
      </c>
      <c r="L20" s="402">
        <v>1802.1</v>
      </c>
      <c r="M20" s="162">
        <v>1802.7</v>
      </c>
      <c r="N20" s="162">
        <v>1803.2</v>
      </c>
      <c r="O20" s="162">
        <f>790.405+591.203+422.183</f>
        <v>1803.7909999999999</v>
      </c>
      <c r="P20" s="402">
        <f t="shared" si="6"/>
        <v>1803.7909999999999</v>
      </c>
      <c r="Q20" s="402">
        <v>1804.4</v>
      </c>
      <c r="R20" s="162">
        <f>591.583+422.3+791.06</f>
        <v>1804.943</v>
      </c>
      <c r="S20" s="174">
        <v>1805.5</v>
      </c>
      <c r="T20" s="174">
        <v>1806.1</v>
      </c>
      <c r="U20" s="402">
        <f t="shared" si="7"/>
        <v>1806.1</v>
      </c>
    </row>
    <row r="21" spans="1:21">
      <c r="A21" s="175" t="s">
        <v>114</v>
      </c>
      <c r="B21" s="162">
        <v>5.5</v>
      </c>
      <c r="C21" s="162">
        <v>10.7</v>
      </c>
      <c r="D21" s="162">
        <v>8.6</v>
      </c>
      <c r="E21" s="162">
        <v>2.8</v>
      </c>
      <c r="F21" s="402">
        <v>2.8</v>
      </c>
      <c r="G21" s="402">
        <v>2.8</v>
      </c>
      <c r="H21" s="162">
        <v>2.2999999999999998</v>
      </c>
      <c r="I21" s="162">
        <v>20</v>
      </c>
      <c r="J21" s="162">
        <v>0.1</v>
      </c>
      <c r="K21" s="402">
        <f t="shared" si="5"/>
        <v>0.1</v>
      </c>
      <c r="L21" s="402">
        <v>0.1</v>
      </c>
      <c r="M21" s="162">
        <v>0.1</v>
      </c>
      <c r="N21" s="162">
        <v>0.1</v>
      </c>
      <c r="O21" s="162">
        <v>0</v>
      </c>
      <c r="P21" s="402">
        <f t="shared" si="6"/>
        <v>0</v>
      </c>
      <c r="Q21" s="402">
        <v>0</v>
      </c>
      <c r="R21" s="162">
        <v>0</v>
      </c>
      <c r="S21" s="174">
        <v>0</v>
      </c>
      <c r="T21" s="174">
        <v>0</v>
      </c>
      <c r="U21" s="402">
        <f t="shared" si="7"/>
        <v>0</v>
      </c>
    </row>
    <row r="22" spans="1:21" s="19" customFormat="1">
      <c r="A22" s="363" t="s">
        <v>115</v>
      </c>
      <c r="B22" s="406">
        <f>4815.1-B16-B17-B18-B19-B20-B21</f>
        <v>710.90000000000055</v>
      </c>
      <c r="C22" s="406">
        <f>5297.5-C16-C17-C18-C19-C20-C21</f>
        <v>679.7</v>
      </c>
      <c r="D22" s="406">
        <f>5347.1-D16-D17-D18-D19-D20-D21</f>
        <v>660.90000000000089</v>
      </c>
      <c r="E22" s="406">
        <f>5266.6-E16-E17-E18-E19-E20-E21</f>
        <v>529.20000000000027</v>
      </c>
      <c r="F22" s="407">
        <f>5266.6-F16-F17-F18-F19-F20-F21</f>
        <v>529.20000000000027</v>
      </c>
      <c r="G22" s="407">
        <f>5320.6-G16-G17-G18-G19-G20-G21</f>
        <v>656.60000000000036</v>
      </c>
      <c r="H22" s="406">
        <f>4956.7-H16-H17-H18-H19-H20-H21</f>
        <v>652.29999999999973</v>
      </c>
      <c r="I22" s="406">
        <f>6965.9-I16-I17-I18-I19-I20-I21</f>
        <v>709.49999999999955</v>
      </c>
      <c r="J22" s="406">
        <f>8258.9-J16-J17-J18-J19-J20-J21</f>
        <v>619.5999999999998</v>
      </c>
      <c r="K22" s="407">
        <f t="shared" si="5"/>
        <v>619.5999999999998</v>
      </c>
      <c r="L22" s="407">
        <f>6968.4-L16-L17-L18-L19-L20-L21</f>
        <v>636.89999999999952</v>
      </c>
      <c r="M22" s="406">
        <f>7018.8-M16-M17-M18-M19-M20-M21</f>
        <v>651.09999999999957</v>
      </c>
      <c r="N22" s="406">
        <f>7795.3-N16-N17-N18-N19-N20-N21</f>
        <v>613.50000000000011</v>
      </c>
      <c r="O22" s="406">
        <f>7722.4-O16-O17-O19-O20</f>
        <v>648.87499999999977</v>
      </c>
      <c r="P22" s="407">
        <f t="shared" si="6"/>
        <v>648.87499999999977</v>
      </c>
      <c r="Q22" s="407">
        <f>6668.9-Q16-Q17-Q18-Q19-Q20</f>
        <v>646.39999999999964</v>
      </c>
      <c r="R22" s="406">
        <f>7023.2-R16-R17-R18-R19-R20-R21</f>
        <v>675.27299999999946</v>
      </c>
      <c r="S22" s="164">
        <v>697.3</v>
      </c>
      <c r="T22" s="164">
        <v>798</v>
      </c>
      <c r="U22" s="407">
        <f t="shared" si="7"/>
        <v>798</v>
      </c>
    </row>
    <row r="23" spans="1:21">
      <c r="A23" s="362" t="s">
        <v>55</v>
      </c>
      <c r="B23" s="404">
        <f t="shared" ref="B23:S23" si="8">SUM(B16:B22)</f>
        <v>4815.1000000000013</v>
      </c>
      <c r="C23" s="404">
        <f t="shared" si="8"/>
        <v>5297.5</v>
      </c>
      <c r="D23" s="404">
        <f t="shared" si="8"/>
        <v>5347.1</v>
      </c>
      <c r="E23" s="404">
        <f t="shared" si="8"/>
        <v>5266.6</v>
      </c>
      <c r="F23" s="405">
        <f t="shared" si="8"/>
        <v>5266.6</v>
      </c>
      <c r="G23" s="405">
        <f t="shared" si="8"/>
        <v>5320.6</v>
      </c>
      <c r="H23" s="404">
        <f t="shared" si="8"/>
        <v>4956.7000000000007</v>
      </c>
      <c r="I23" s="404">
        <f t="shared" si="8"/>
        <v>6965.9</v>
      </c>
      <c r="J23" s="404">
        <f t="shared" si="8"/>
        <v>8258.9</v>
      </c>
      <c r="K23" s="405">
        <f t="shared" si="8"/>
        <v>8258.9</v>
      </c>
      <c r="L23" s="405">
        <f t="shared" si="8"/>
        <v>6968.4</v>
      </c>
      <c r="M23" s="404">
        <f t="shared" si="8"/>
        <v>7018.8</v>
      </c>
      <c r="N23" s="404">
        <f t="shared" si="8"/>
        <v>7795.2999999999993</v>
      </c>
      <c r="O23" s="404">
        <f t="shared" si="8"/>
        <v>7722.4000000000005</v>
      </c>
      <c r="P23" s="405">
        <f t="shared" si="8"/>
        <v>7722.4000000000005</v>
      </c>
      <c r="Q23" s="405">
        <f t="shared" si="8"/>
        <v>6668.9</v>
      </c>
      <c r="R23" s="404">
        <f t="shared" si="8"/>
        <v>7023.2</v>
      </c>
      <c r="S23" s="404">
        <f t="shared" si="8"/>
        <v>7800.2</v>
      </c>
      <c r="T23" s="404">
        <f t="shared" ref="T23:U23" si="9">SUM(T16:T22)</f>
        <v>7404.2999999999993</v>
      </c>
      <c r="U23" s="405">
        <f t="shared" si="9"/>
        <v>7404.2999999999993</v>
      </c>
    </row>
    <row r="24" spans="1:21">
      <c r="A24" s="175"/>
      <c r="B24" s="162"/>
      <c r="C24" s="162"/>
      <c r="D24" s="162"/>
      <c r="E24" s="162"/>
      <c r="F24" s="402"/>
      <c r="G24" s="402"/>
      <c r="H24" s="162"/>
      <c r="I24" s="162"/>
      <c r="J24" s="162"/>
      <c r="K24" s="402"/>
      <c r="L24" s="402"/>
      <c r="M24" s="162"/>
      <c r="N24" s="162"/>
      <c r="O24" s="162"/>
      <c r="P24" s="402"/>
      <c r="Q24" s="402"/>
      <c r="R24" s="162"/>
      <c r="S24" s="174"/>
      <c r="T24" s="174"/>
      <c r="U24" s="402"/>
    </row>
    <row r="25" spans="1:21" s="421" customFormat="1">
      <c r="A25" s="454" t="s">
        <v>210</v>
      </c>
      <c r="B25" s="472"/>
      <c r="C25" s="472"/>
      <c r="D25" s="472"/>
      <c r="E25" s="472"/>
      <c r="F25" s="473"/>
      <c r="G25" s="473"/>
      <c r="H25" s="472"/>
      <c r="I25" s="472"/>
      <c r="J25" s="472"/>
      <c r="K25" s="473"/>
      <c r="L25" s="473"/>
      <c r="M25" s="472"/>
      <c r="N25" s="472"/>
      <c r="O25" s="472"/>
      <c r="P25" s="473"/>
      <c r="Q25" s="473"/>
      <c r="R25" s="472"/>
      <c r="S25" s="472"/>
      <c r="T25" s="472"/>
      <c r="U25" s="473"/>
    </row>
    <row r="26" spans="1:21">
      <c r="A26" s="175" t="s">
        <v>116</v>
      </c>
      <c r="B26" s="162">
        <v>1989.6</v>
      </c>
      <c r="C26" s="162">
        <v>2132.8000000000002</v>
      </c>
      <c r="D26" s="162">
        <v>2145.9</v>
      </c>
      <c r="E26" s="162">
        <v>2259.8000000000002</v>
      </c>
      <c r="F26" s="402">
        <v>2259.8000000000002</v>
      </c>
      <c r="G26" s="402">
        <v>2259.3000000000002</v>
      </c>
      <c r="H26" s="162">
        <v>2459.6</v>
      </c>
      <c r="I26" s="162">
        <v>2545.6999999999998</v>
      </c>
      <c r="J26" s="162">
        <v>2712.6</v>
      </c>
      <c r="K26" s="402">
        <f>+J26</f>
        <v>2712.6</v>
      </c>
      <c r="L26" s="402">
        <v>2817.6</v>
      </c>
      <c r="M26" s="162">
        <v>2855.1</v>
      </c>
      <c r="N26" s="162">
        <v>2935</v>
      </c>
      <c r="O26" s="162">
        <v>3014.4870000000001</v>
      </c>
      <c r="P26" s="402">
        <f>+O26</f>
        <v>3014.4870000000001</v>
      </c>
      <c r="Q26" s="402">
        <v>3211.9</v>
      </c>
      <c r="R26" s="162">
        <v>3539.6930000000002</v>
      </c>
      <c r="S26" s="174">
        <v>3795.5</v>
      </c>
      <c r="T26" s="174">
        <v>4019.4</v>
      </c>
      <c r="U26" s="402">
        <f>+T26</f>
        <v>4019.4</v>
      </c>
    </row>
    <row r="27" spans="1:21" s="19" customFormat="1">
      <c r="A27" s="363" t="s">
        <v>96</v>
      </c>
      <c r="B27" s="406">
        <v>38.700000000000003</v>
      </c>
      <c r="C27" s="406">
        <v>41.5</v>
      </c>
      <c r="D27" s="406">
        <v>36.9</v>
      </c>
      <c r="E27" s="406">
        <v>41.6</v>
      </c>
      <c r="F27" s="407">
        <v>41.6</v>
      </c>
      <c r="G27" s="407">
        <v>45.7</v>
      </c>
      <c r="H27" s="406">
        <v>43.9</v>
      </c>
      <c r="I27" s="406">
        <v>43.9</v>
      </c>
      <c r="J27" s="406">
        <v>46.4</v>
      </c>
      <c r="K27" s="407">
        <f>+J27</f>
        <v>46.4</v>
      </c>
      <c r="L27" s="407">
        <v>49.1</v>
      </c>
      <c r="M27" s="406">
        <v>48.7</v>
      </c>
      <c r="N27" s="406">
        <v>46.5</v>
      </c>
      <c r="O27" s="406">
        <v>42.758000000000003</v>
      </c>
      <c r="P27" s="407">
        <f>+O27</f>
        <v>42.758000000000003</v>
      </c>
      <c r="Q27" s="407">
        <v>46.3</v>
      </c>
      <c r="R27" s="406">
        <v>43.332999999999998</v>
      </c>
      <c r="S27" s="164">
        <v>56.3</v>
      </c>
      <c r="T27" s="164">
        <v>60.1</v>
      </c>
      <c r="U27" s="407">
        <f>+T27</f>
        <v>60.1</v>
      </c>
    </row>
    <row r="28" spans="1:21">
      <c r="A28" s="362" t="s">
        <v>211</v>
      </c>
      <c r="B28" s="404">
        <f t="shared" ref="B28:S28" si="10">+B26+B27</f>
        <v>2028.3</v>
      </c>
      <c r="C28" s="404">
        <f t="shared" si="10"/>
        <v>2174.3000000000002</v>
      </c>
      <c r="D28" s="404">
        <f t="shared" si="10"/>
        <v>2182.8000000000002</v>
      </c>
      <c r="E28" s="404">
        <f t="shared" si="10"/>
        <v>2301.4</v>
      </c>
      <c r="F28" s="405">
        <f t="shared" si="10"/>
        <v>2301.4</v>
      </c>
      <c r="G28" s="405">
        <f t="shared" si="10"/>
        <v>2305</v>
      </c>
      <c r="H28" s="404">
        <f t="shared" si="10"/>
        <v>2503.5</v>
      </c>
      <c r="I28" s="404">
        <f t="shared" si="10"/>
        <v>2589.6</v>
      </c>
      <c r="J28" s="404">
        <f t="shared" si="10"/>
        <v>2759</v>
      </c>
      <c r="K28" s="405">
        <f t="shared" si="10"/>
        <v>2759</v>
      </c>
      <c r="L28" s="405">
        <f t="shared" si="10"/>
        <v>2866.7</v>
      </c>
      <c r="M28" s="404">
        <f t="shared" si="10"/>
        <v>2903.7999999999997</v>
      </c>
      <c r="N28" s="404">
        <f t="shared" si="10"/>
        <v>2981.5</v>
      </c>
      <c r="O28" s="404">
        <f t="shared" si="10"/>
        <v>3057.2449999999999</v>
      </c>
      <c r="P28" s="405">
        <f t="shared" si="10"/>
        <v>3057.2449999999999</v>
      </c>
      <c r="Q28" s="405">
        <f t="shared" si="10"/>
        <v>3258.2000000000003</v>
      </c>
      <c r="R28" s="404">
        <f t="shared" si="10"/>
        <v>3583.0260000000003</v>
      </c>
      <c r="S28" s="177">
        <f t="shared" si="10"/>
        <v>3851.8</v>
      </c>
      <c r="T28" s="177">
        <f t="shared" ref="T28:U28" si="11">+T26+T27</f>
        <v>4079.5</v>
      </c>
      <c r="U28" s="405">
        <f t="shared" si="11"/>
        <v>4079.5</v>
      </c>
    </row>
    <row r="29" spans="1:21" s="19" customFormat="1">
      <c r="A29" s="363"/>
      <c r="B29" s="406"/>
      <c r="C29" s="406"/>
      <c r="D29" s="406"/>
      <c r="E29" s="406"/>
      <c r="F29" s="407"/>
      <c r="G29" s="407"/>
      <c r="H29" s="406"/>
      <c r="I29" s="406"/>
      <c r="J29" s="406"/>
      <c r="K29" s="407"/>
      <c r="L29" s="407"/>
      <c r="M29" s="406"/>
      <c r="N29" s="406"/>
      <c r="O29" s="406"/>
      <c r="P29" s="407"/>
      <c r="Q29" s="407"/>
      <c r="R29" s="406"/>
      <c r="S29" s="164"/>
      <c r="T29" s="164"/>
      <c r="U29" s="407"/>
    </row>
    <row r="30" spans="1:21">
      <c r="A30" s="362" t="s">
        <v>212</v>
      </c>
      <c r="B30" s="404">
        <f t="shared" ref="B30:S30" si="12">+B28+B23</f>
        <v>6843.4000000000015</v>
      </c>
      <c r="C30" s="404">
        <f t="shared" si="12"/>
        <v>7471.8</v>
      </c>
      <c r="D30" s="404">
        <f t="shared" si="12"/>
        <v>7529.9000000000005</v>
      </c>
      <c r="E30" s="404">
        <f t="shared" si="12"/>
        <v>7568</v>
      </c>
      <c r="F30" s="405">
        <f t="shared" si="12"/>
        <v>7568</v>
      </c>
      <c r="G30" s="405">
        <f t="shared" si="12"/>
        <v>7625.6</v>
      </c>
      <c r="H30" s="404">
        <f t="shared" si="12"/>
        <v>7460.2000000000007</v>
      </c>
      <c r="I30" s="404">
        <f t="shared" si="12"/>
        <v>9555.5</v>
      </c>
      <c r="J30" s="404">
        <f t="shared" si="12"/>
        <v>11017.9</v>
      </c>
      <c r="K30" s="405">
        <f t="shared" si="12"/>
        <v>11017.9</v>
      </c>
      <c r="L30" s="405">
        <f t="shared" si="12"/>
        <v>9835.0999999999985</v>
      </c>
      <c r="M30" s="404">
        <f t="shared" si="12"/>
        <v>9922.6</v>
      </c>
      <c r="N30" s="404">
        <f t="shared" si="12"/>
        <v>10776.8</v>
      </c>
      <c r="O30" s="404">
        <f t="shared" si="12"/>
        <v>10779.645</v>
      </c>
      <c r="P30" s="405">
        <f t="shared" si="12"/>
        <v>10779.645</v>
      </c>
      <c r="Q30" s="405">
        <f t="shared" si="12"/>
        <v>9927.1</v>
      </c>
      <c r="R30" s="404">
        <f t="shared" si="12"/>
        <v>10606.226000000001</v>
      </c>
      <c r="S30" s="404">
        <f t="shared" si="12"/>
        <v>11652</v>
      </c>
      <c r="T30" s="404">
        <f t="shared" ref="T30:U30" si="13">+T28+T23</f>
        <v>11483.8</v>
      </c>
      <c r="U30" s="405">
        <f t="shared" si="13"/>
        <v>11483.8</v>
      </c>
    </row>
    <row r="31" spans="1:21">
      <c r="A31" s="178"/>
      <c r="B31" s="162"/>
      <c r="C31" s="162"/>
      <c r="D31" s="162"/>
      <c r="E31" s="162"/>
      <c r="F31" s="162"/>
      <c r="G31" s="162"/>
      <c r="H31" s="162"/>
      <c r="I31" s="162"/>
      <c r="J31" s="162"/>
      <c r="K31" s="162"/>
      <c r="L31" s="162"/>
      <c r="M31" s="162"/>
      <c r="N31" s="162"/>
      <c r="O31" s="162"/>
      <c r="P31" s="162"/>
      <c r="Q31" s="162"/>
      <c r="R31" s="162"/>
      <c r="S31" s="81"/>
      <c r="T31" s="480"/>
    </row>
    <row r="32" spans="1:21" ht="14.7" customHeight="1">
      <c r="A32" s="179" t="s">
        <v>125</v>
      </c>
      <c r="B32" s="478"/>
      <c r="C32" s="478"/>
      <c r="D32" s="478"/>
      <c r="E32" s="478"/>
      <c r="F32" s="478"/>
      <c r="G32" s="478"/>
      <c r="H32" s="478"/>
      <c r="I32" s="478"/>
      <c r="J32" s="478"/>
      <c r="K32" s="478"/>
      <c r="L32" s="74"/>
      <c r="M32" s="180"/>
      <c r="N32" s="74"/>
      <c r="O32" s="74"/>
      <c r="P32" s="74"/>
      <c r="Q32" s="74"/>
      <c r="R32" s="180"/>
      <c r="S32" s="74"/>
      <c r="T32" s="13"/>
    </row>
    <row r="33" spans="1:20">
      <c r="A33" s="477"/>
      <c r="B33" s="478"/>
      <c r="C33" s="478"/>
      <c r="D33" s="478"/>
      <c r="E33" s="478"/>
      <c r="F33" s="478"/>
      <c r="G33" s="478"/>
      <c r="H33" s="478"/>
      <c r="I33" s="478"/>
      <c r="J33" s="478"/>
      <c r="K33" s="478"/>
      <c r="L33" s="74"/>
      <c r="M33" s="180"/>
      <c r="N33" s="74"/>
      <c r="O33" s="74"/>
      <c r="P33" s="74"/>
      <c r="Q33" s="74"/>
      <c r="R33" s="180"/>
      <c r="S33" s="74"/>
      <c r="T33" s="13"/>
    </row>
    <row r="34" spans="1:20">
      <c r="A34" s="96" t="s">
        <v>100</v>
      </c>
      <c r="B34" s="411"/>
      <c r="C34" s="411"/>
      <c r="D34" s="411"/>
      <c r="E34" s="411"/>
      <c r="F34" s="411"/>
      <c r="G34" s="411"/>
      <c r="H34" s="411"/>
      <c r="I34" s="411"/>
      <c r="J34" s="411"/>
      <c r="K34" s="411"/>
      <c r="L34" s="411"/>
      <c r="M34" s="411"/>
      <c r="N34" s="411"/>
      <c r="O34" s="411"/>
      <c r="P34" s="411"/>
      <c r="Q34" s="411"/>
      <c r="R34" s="411"/>
      <c r="S34" s="411"/>
      <c r="T34" s="13"/>
    </row>
    <row r="35" spans="1:20">
      <c r="A35" s="408" t="s">
        <v>101</v>
      </c>
      <c r="B35" s="100"/>
      <c r="C35" s="100"/>
      <c r="D35" s="100"/>
      <c r="E35" s="100"/>
      <c r="F35" s="100"/>
      <c r="G35" s="100"/>
      <c r="H35" s="100"/>
      <c r="I35" s="100"/>
      <c r="J35" s="100"/>
      <c r="K35" s="100"/>
      <c r="L35" s="100"/>
      <c r="M35" s="100"/>
      <c r="N35" s="100"/>
      <c r="O35" s="100"/>
      <c r="P35" s="100"/>
      <c r="Q35" s="100"/>
      <c r="R35" s="100"/>
      <c r="S35" s="100"/>
      <c r="T35" s="13"/>
    </row>
    <row r="36" spans="1:20">
      <c r="A36" s="408" t="s">
        <v>102</v>
      </c>
      <c r="B36" s="409"/>
      <c r="C36" s="409"/>
      <c r="D36" s="409"/>
      <c r="E36" s="409"/>
      <c r="F36" s="410"/>
      <c r="G36" s="410"/>
      <c r="H36" s="410"/>
      <c r="I36" s="410"/>
      <c r="J36" s="410"/>
      <c r="K36" s="410"/>
      <c r="L36" s="410"/>
      <c r="M36" s="410"/>
      <c r="N36" s="410"/>
      <c r="O36" s="410"/>
      <c r="P36" s="410"/>
      <c r="Q36" s="410"/>
      <c r="R36" s="410"/>
      <c r="S36" s="410"/>
      <c r="T36" s="13"/>
    </row>
    <row r="37" spans="1:20">
      <c r="A37" s="173"/>
      <c r="B37" s="173"/>
      <c r="C37" s="173"/>
      <c r="D37" s="173"/>
      <c r="E37" s="173"/>
      <c r="F37" s="74"/>
      <c r="G37" s="74"/>
      <c r="H37" s="74"/>
      <c r="I37" s="74"/>
      <c r="J37" s="74"/>
      <c r="K37" s="74"/>
      <c r="L37" s="74"/>
      <c r="M37" s="74"/>
      <c r="N37" s="74"/>
      <c r="O37" s="74"/>
      <c r="P37" s="74"/>
      <c r="Q37" s="74"/>
      <c r="R37" s="74"/>
      <c r="S37" s="74"/>
      <c r="T37" s="13"/>
    </row>
    <row r="38" spans="1:20">
      <c r="A38" s="173"/>
      <c r="B38" s="173"/>
      <c r="C38" s="173"/>
      <c r="D38" s="173"/>
      <c r="E38" s="173"/>
      <c r="F38" s="74"/>
      <c r="G38" s="74"/>
      <c r="H38" s="74"/>
      <c r="I38" s="74"/>
      <c r="J38" s="74"/>
      <c r="K38" s="74"/>
      <c r="L38" s="74"/>
      <c r="M38" s="74"/>
      <c r="N38" s="74"/>
      <c r="O38" s="74"/>
      <c r="P38" s="74"/>
      <c r="Q38" s="74"/>
      <c r="R38" s="74"/>
      <c r="S38" s="74"/>
      <c r="T38" s="13"/>
    </row>
    <row r="39" spans="1:20">
      <c r="A39" s="173"/>
      <c r="B39" s="173"/>
      <c r="C39" s="173"/>
      <c r="D39" s="173"/>
      <c r="E39" s="173"/>
      <c r="F39" s="74"/>
      <c r="G39" s="74"/>
      <c r="H39" s="74"/>
      <c r="I39" s="74"/>
      <c r="J39" s="74"/>
      <c r="K39" s="74"/>
      <c r="L39" s="74"/>
      <c r="M39" s="74"/>
      <c r="N39" s="74"/>
      <c r="O39" s="74"/>
      <c r="P39" s="74"/>
      <c r="Q39" s="74"/>
      <c r="R39" s="74"/>
      <c r="S39" s="74"/>
      <c r="T39" s="13"/>
    </row>
    <row r="40" spans="1:20">
      <c r="A40" s="26"/>
      <c r="B40" s="26"/>
      <c r="C40" s="26"/>
      <c r="D40" s="26"/>
      <c r="E40" s="26"/>
      <c r="F40" s="13"/>
      <c r="G40" s="13"/>
      <c r="H40" s="13"/>
      <c r="I40" s="13"/>
      <c r="J40" s="13"/>
      <c r="K40" s="13"/>
      <c r="L40" s="13"/>
      <c r="M40" s="13"/>
      <c r="N40" s="13"/>
      <c r="O40" s="13"/>
      <c r="P40" s="13"/>
      <c r="Q40" s="13"/>
      <c r="R40" s="13"/>
      <c r="S40" s="13"/>
      <c r="T40" s="13"/>
    </row>
    <row r="41" spans="1:20">
      <c r="A41" s="26"/>
      <c r="B41" s="26"/>
      <c r="C41" s="26"/>
      <c r="D41" s="26"/>
      <c r="E41" s="26"/>
      <c r="F41" s="13"/>
      <c r="G41" s="13"/>
      <c r="H41" s="13"/>
      <c r="I41" s="13"/>
      <c r="J41" s="13"/>
      <c r="K41" s="13"/>
      <c r="L41" s="13"/>
      <c r="M41" s="13"/>
      <c r="N41" s="13"/>
      <c r="O41" s="13"/>
      <c r="P41" s="13"/>
      <c r="Q41" s="13"/>
      <c r="R41" s="13"/>
      <c r="S41" s="13"/>
      <c r="T41" s="13"/>
    </row>
    <row r="42" spans="1:20">
      <c r="A42" s="26"/>
      <c r="B42" s="26"/>
      <c r="C42" s="26"/>
      <c r="D42" s="26"/>
      <c r="E42" s="26"/>
      <c r="F42" s="13"/>
      <c r="G42" s="13"/>
      <c r="H42" s="13"/>
      <c r="I42" s="13"/>
      <c r="J42" s="13"/>
      <c r="K42" s="13"/>
      <c r="L42" s="13"/>
      <c r="M42" s="13"/>
      <c r="N42" s="13"/>
      <c r="O42" s="13"/>
      <c r="P42" s="13"/>
      <c r="Q42" s="13"/>
      <c r="R42" s="13"/>
      <c r="S42" s="13"/>
      <c r="T42" s="13"/>
    </row>
    <row r="43" spans="1:20">
      <c r="A43" s="26"/>
      <c r="B43" s="26"/>
      <c r="C43" s="26"/>
      <c r="D43" s="26"/>
      <c r="E43" s="26"/>
      <c r="F43" s="13"/>
      <c r="G43" s="13"/>
      <c r="H43" s="13"/>
      <c r="I43" s="13"/>
      <c r="J43" s="13"/>
      <c r="K43" s="13"/>
      <c r="L43" s="13"/>
      <c r="M43" s="13"/>
      <c r="N43" s="13"/>
      <c r="O43" s="13"/>
      <c r="P43" s="13"/>
      <c r="Q43" s="13"/>
      <c r="R43" s="13"/>
      <c r="S43" s="13"/>
      <c r="T43" s="13"/>
    </row>
    <row r="44" spans="1:20">
      <c r="A44" s="26"/>
      <c r="B44" s="26"/>
      <c r="C44" s="26"/>
      <c r="D44" s="26"/>
      <c r="E44" s="26"/>
      <c r="F44" s="13"/>
      <c r="G44" s="13"/>
      <c r="H44" s="13"/>
      <c r="I44" s="13"/>
      <c r="J44" s="13"/>
      <c r="K44" s="13"/>
      <c r="L44" s="13"/>
      <c r="M44" s="13"/>
      <c r="N44" s="13"/>
      <c r="O44" s="13"/>
      <c r="P44" s="13"/>
      <c r="Q44" s="13"/>
      <c r="R44" s="13"/>
      <c r="S44" s="13"/>
      <c r="T44" s="13"/>
    </row>
    <row r="45" spans="1:20">
      <c r="A45" s="26"/>
      <c r="B45" s="26"/>
      <c r="C45" s="26"/>
      <c r="D45" s="26"/>
      <c r="E45" s="26"/>
      <c r="F45" s="13"/>
      <c r="G45" s="13"/>
      <c r="H45" s="13"/>
      <c r="I45" s="13"/>
      <c r="J45" s="13"/>
      <c r="K45" s="13"/>
      <c r="L45" s="13"/>
      <c r="M45" s="13"/>
      <c r="N45" s="13"/>
      <c r="O45" s="13"/>
      <c r="P45" s="13"/>
      <c r="Q45" s="13"/>
      <c r="R45" s="13"/>
      <c r="S45" s="13"/>
      <c r="T45" s="13"/>
    </row>
    <row r="46" spans="1:20">
      <c r="A46" s="26"/>
      <c r="B46" s="26"/>
      <c r="C46" s="26"/>
      <c r="D46" s="26"/>
      <c r="E46" s="26"/>
      <c r="F46" s="13"/>
      <c r="G46" s="13"/>
      <c r="H46" s="13"/>
      <c r="I46" s="13"/>
      <c r="J46" s="13"/>
      <c r="K46" s="13"/>
      <c r="L46" s="13"/>
      <c r="M46" s="13"/>
      <c r="N46" s="13"/>
      <c r="O46" s="13"/>
      <c r="P46" s="13"/>
      <c r="Q46" s="13"/>
      <c r="R46" s="13"/>
      <c r="S46" s="13"/>
      <c r="T46" s="13"/>
    </row>
    <row r="47" spans="1:20">
      <c r="A47" s="26"/>
      <c r="B47" s="26"/>
      <c r="C47" s="26"/>
      <c r="D47" s="26"/>
      <c r="E47" s="26"/>
      <c r="F47" s="13"/>
      <c r="G47" s="13"/>
      <c r="H47" s="13"/>
      <c r="I47" s="13"/>
      <c r="J47" s="13"/>
      <c r="K47" s="13"/>
      <c r="L47" s="13"/>
      <c r="M47" s="13"/>
      <c r="N47" s="13"/>
      <c r="O47" s="13"/>
      <c r="P47" s="13"/>
      <c r="Q47" s="13"/>
      <c r="R47" s="13"/>
      <c r="S47" s="13"/>
      <c r="T47" s="13"/>
    </row>
    <row r="48" spans="1:20">
      <c r="A48" s="26"/>
      <c r="B48" s="26"/>
      <c r="C48" s="26"/>
      <c r="D48" s="26"/>
      <c r="E48" s="26"/>
      <c r="F48" s="13"/>
      <c r="G48" s="13"/>
      <c r="H48" s="13"/>
      <c r="I48" s="13"/>
      <c r="J48" s="13"/>
      <c r="K48" s="13"/>
      <c r="L48" s="13"/>
      <c r="M48" s="13"/>
      <c r="N48" s="13"/>
      <c r="O48" s="13"/>
      <c r="P48" s="13"/>
      <c r="Q48" s="13"/>
      <c r="R48" s="13"/>
      <c r="S48" s="13"/>
      <c r="T48" s="13"/>
    </row>
    <row r="49" spans="1:20">
      <c r="A49" s="26"/>
      <c r="B49" s="26"/>
      <c r="C49" s="26"/>
      <c r="D49" s="26"/>
      <c r="E49" s="26"/>
      <c r="F49" s="13"/>
      <c r="G49" s="13"/>
      <c r="H49" s="13"/>
      <c r="I49" s="13"/>
      <c r="J49" s="13"/>
      <c r="K49" s="13"/>
      <c r="L49" s="13"/>
      <c r="M49" s="13"/>
      <c r="N49" s="13"/>
      <c r="O49" s="13"/>
      <c r="P49" s="13"/>
      <c r="Q49" s="13"/>
      <c r="R49" s="13"/>
      <c r="S49" s="13"/>
      <c r="T49" s="13"/>
    </row>
    <row r="50" spans="1:20">
      <c r="A50" s="26"/>
      <c r="B50" s="26"/>
      <c r="C50" s="26"/>
      <c r="D50" s="26"/>
      <c r="E50" s="26"/>
      <c r="F50" s="13"/>
      <c r="G50" s="13"/>
      <c r="H50" s="13"/>
      <c r="I50" s="13"/>
      <c r="J50" s="13"/>
      <c r="K50" s="13"/>
      <c r="L50" s="13"/>
      <c r="M50" s="13"/>
      <c r="N50" s="13"/>
      <c r="O50" s="13"/>
      <c r="P50" s="13"/>
      <c r="Q50" s="13"/>
      <c r="R50" s="13"/>
      <c r="S50" s="13"/>
      <c r="T50" s="13"/>
    </row>
    <row r="51" spans="1:20">
      <c r="A51" s="26"/>
      <c r="B51" s="26"/>
      <c r="C51" s="26"/>
      <c r="D51" s="26"/>
      <c r="E51" s="26"/>
      <c r="F51" s="13"/>
      <c r="G51" s="13"/>
      <c r="H51" s="13"/>
      <c r="I51" s="13"/>
      <c r="J51" s="13"/>
      <c r="K51" s="13"/>
      <c r="L51" s="13"/>
      <c r="M51" s="13"/>
      <c r="N51" s="13"/>
      <c r="O51" s="13"/>
      <c r="P51" s="13"/>
      <c r="Q51" s="13"/>
      <c r="R51" s="13"/>
      <c r="S51" s="13"/>
      <c r="T51" s="13"/>
    </row>
    <row r="52" spans="1:20">
      <c r="A52" s="26"/>
      <c r="B52" s="26"/>
      <c r="C52" s="26"/>
      <c r="D52" s="26"/>
      <c r="E52" s="26"/>
      <c r="F52" s="13"/>
      <c r="G52" s="13"/>
      <c r="H52" s="13"/>
      <c r="I52" s="13"/>
      <c r="J52" s="13"/>
      <c r="K52" s="13"/>
      <c r="L52" s="13"/>
      <c r="M52" s="13"/>
      <c r="N52" s="13"/>
      <c r="O52" s="13"/>
      <c r="P52" s="13"/>
      <c r="Q52" s="13"/>
      <c r="R52" s="13"/>
      <c r="S52" s="13"/>
      <c r="T52" s="13"/>
    </row>
    <row r="53" spans="1:20">
      <c r="A53" s="26"/>
      <c r="B53" s="26"/>
      <c r="C53" s="26"/>
      <c r="D53" s="26"/>
      <c r="E53" s="26"/>
      <c r="F53" s="13"/>
      <c r="G53" s="13"/>
      <c r="H53" s="13"/>
      <c r="I53" s="13"/>
      <c r="J53" s="13"/>
      <c r="K53" s="13"/>
      <c r="L53" s="13"/>
      <c r="M53" s="13"/>
      <c r="N53" s="13"/>
      <c r="O53" s="13"/>
      <c r="P53" s="13"/>
      <c r="Q53" s="13"/>
      <c r="R53" s="13"/>
      <c r="S53" s="13"/>
      <c r="T53" s="13"/>
    </row>
    <row r="54" spans="1:20">
      <c r="A54" s="26"/>
      <c r="B54" s="26"/>
      <c r="C54" s="26"/>
      <c r="D54" s="26"/>
      <c r="E54" s="26"/>
      <c r="F54" s="13"/>
      <c r="G54" s="13"/>
      <c r="H54" s="13"/>
      <c r="I54" s="13"/>
      <c r="J54" s="13"/>
      <c r="K54" s="13"/>
      <c r="L54" s="13"/>
      <c r="M54" s="13"/>
      <c r="N54" s="13"/>
      <c r="O54" s="13"/>
      <c r="P54" s="13"/>
      <c r="Q54" s="13"/>
      <c r="R54" s="13"/>
      <c r="S54" s="13"/>
      <c r="T54" s="13"/>
    </row>
    <row r="55" spans="1:20">
      <c r="A55" s="26"/>
      <c r="B55" s="26"/>
      <c r="C55" s="26"/>
      <c r="D55" s="26"/>
      <c r="E55" s="26"/>
      <c r="F55" s="13"/>
      <c r="G55" s="13"/>
      <c r="H55" s="13"/>
      <c r="I55" s="13"/>
      <c r="J55" s="13"/>
      <c r="K55" s="13"/>
      <c r="L55" s="13"/>
      <c r="M55" s="13"/>
      <c r="N55" s="13"/>
      <c r="O55" s="13"/>
      <c r="P55" s="13"/>
      <c r="Q55" s="13"/>
      <c r="R55" s="13"/>
      <c r="S55" s="13"/>
      <c r="T55" s="13"/>
    </row>
    <row r="56" spans="1:20">
      <c r="A56" s="26"/>
      <c r="B56" s="26"/>
      <c r="C56" s="26"/>
      <c r="D56" s="26"/>
      <c r="E56" s="26"/>
      <c r="F56" s="13"/>
      <c r="G56" s="13"/>
      <c r="H56" s="13"/>
      <c r="I56" s="13"/>
      <c r="J56" s="13"/>
      <c r="K56" s="13"/>
      <c r="L56" s="13"/>
      <c r="M56" s="13"/>
      <c r="N56" s="13"/>
      <c r="O56" s="13"/>
      <c r="P56" s="13"/>
      <c r="Q56" s="13"/>
      <c r="R56" s="13"/>
      <c r="S56" s="13"/>
      <c r="T56" s="13"/>
    </row>
    <row r="57" spans="1:20">
      <c r="A57" s="26"/>
      <c r="B57" s="26"/>
      <c r="C57" s="26"/>
      <c r="D57" s="26"/>
      <c r="E57" s="26"/>
      <c r="F57" s="13"/>
      <c r="G57" s="13"/>
      <c r="H57" s="13"/>
      <c r="I57" s="13"/>
      <c r="J57" s="13"/>
      <c r="K57" s="13"/>
      <c r="L57" s="13"/>
      <c r="M57" s="13"/>
      <c r="N57" s="13"/>
      <c r="O57" s="13"/>
      <c r="P57" s="13"/>
      <c r="Q57" s="13"/>
      <c r="R57" s="13"/>
      <c r="S57" s="13"/>
      <c r="T57" s="13"/>
    </row>
    <row r="58" spans="1:20">
      <c r="A58" s="26"/>
      <c r="B58" s="26"/>
      <c r="C58" s="26"/>
      <c r="D58" s="26"/>
      <c r="E58" s="26"/>
      <c r="F58" s="13"/>
      <c r="G58" s="13"/>
      <c r="H58" s="13"/>
      <c r="I58" s="13"/>
      <c r="J58" s="13"/>
      <c r="K58" s="13"/>
      <c r="L58" s="13"/>
      <c r="M58" s="13"/>
      <c r="N58" s="13"/>
      <c r="O58" s="13"/>
      <c r="P58" s="13"/>
      <c r="Q58" s="13"/>
      <c r="R58" s="13"/>
      <c r="S58" s="13"/>
      <c r="T58" s="13"/>
    </row>
    <row r="59" spans="1:20">
      <c r="A59" s="26"/>
      <c r="B59" s="26"/>
      <c r="C59" s="26"/>
      <c r="D59" s="26"/>
      <c r="E59" s="26"/>
      <c r="F59" s="13"/>
      <c r="G59" s="13"/>
      <c r="H59" s="13"/>
      <c r="I59" s="13"/>
      <c r="J59" s="13"/>
      <c r="K59" s="13"/>
      <c r="L59" s="13"/>
      <c r="M59" s="13"/>
      <c r="N59" s="13"/>
      <c r="O59" s="13"/>
      <c r="P59" s="13"/>
      <c r="Q59" s="13"/>
      <c r="R59" s="13"/>
      <c r="S59" s="13"/>
      <c r="T59" s="13"/>
    </row>
    <row r="60" spans="1:20">
      <c r="A60" s="26"/>
      <c r="B60" s="26"/>
      <c r="C60" s="26"/>
      <c r="D60" s="26"/>
      <c r="E60" s="26"/>
      <c r="F60" s="13"/>
      <c r="G60" s="13"/>
      <c r="H60" s="13"/>
      <c r="I60" s="13"/>
      <c r="J60" s="13"/>
      <c r="K60" s="13"/>
      <c r="L60" s="13"/>
      <c r="M60" s="13"/>
      <c r="N60" s="13"/>
      <c r="O60" s="13"/>
      <c r="P60" s="13"/>
      <c r="Q60" s="13"/>
      <c r="R60" s="13"/>
      <c r="S60" s="13"/>
      <c r="T60" s="13"/>
    </row>
    <row r="61" spans="1:20">
      <c r="A61" s="26"/>
      <c r="B61" s="26"/>
      <c r="C61" s="26"/>
      <c r="D61" s="26"/>
      <c r="E61" s="26"/>
      <c r="F61" s="13"/>
      <c r="G61" s="13"/>
      <c r="H61" s="13"/>
      <c r="I61" s="13"/>
      <c r="J61" s="13"/>
      <c r="K61" s="13"/>
      <c r="L61" s="13"/>
      <c r="M61" s="13"/>
      <c r="N61" s="13"/>
      <c r="O61" s="13"/>
      <c r="P61" s="13"/>
      <c r="Q61" s="13"/>
      <c r="R61" s="13"/>
      <c r="S61" s="13"/>
      <c r="T61" s="13"/>
    </row>
    <row r="62" spans="1:20">
      <c r="A62" s="26"/>
      <c r="B62" s="26"/>
      <c r="C62" s="26"/>
      <c r="D62" s="26"/>
      <c r="E62" s="26"/>
      <c r="F62" s="13"/>
      <c r="G62" s="13"/>
      <c r="H62" s="13"/>
      <c r="I62" s="13"/>
      <c r="J62" s="13"/>
      <c r="K62" s="13"/>
      <c r="L62" s="13"/>
      <c r="M62" s="13"/>
      <c r="N62" s="13"/>
      <c r="O62" s="13"/>
      <c r="P62" s="13"/>
      <c r="Q62" s="13"/>
      <c r="R62" s="13"/>
      <c r="S62" s="13"/>
      <c r="T62" s="13"/>
    </row>
    <row r="63" spans="1:20">
      <c r="A63" s="26"/>
      <c r="B63" s="26"/>
      <c r="C63" s="26"/>
      <c r="D63" s="26"/>
      <c r="E63" s="26"/>
      <c r="F63" s="13"/>
      <c r="G63" s="13"/>
      <c r="H63" s="13"/>
      <c r="I63" s="13"/>
      <c r="J63" s="13"/>
      <c r="K63" s="13"/>
      <c r="L63" s="13"/>
      <c r="M63" s="13"/>
      <c r="N63" s="13"/>
      <c r="O63" s="13"/>
      <c r="P63" s="13"/>
      <c r="Q63" s="13"/>
      <c r="R63" s="13"/>
      <c r="S63" s="13"/>
      <c r="T63" s="13"/>
    </row>
    <row r="64" spans="1:20">
      <c r="A64" s="26"/>
      <c r="B64" s="26"/>
      <c r="C64" s="26"/>
      <c r="D64" s="26"/>
      <c r="E64" s="26"/>
      <c r="F64" s="13"/>
      <c r="G64" s="13"/>
      <c r="H64" s="13"/>
      <c r="I64" s="13"/>
      <c r="J64" s="13"/>
      <c r="K64" s="13"/>
      <c r="L64" s="13"/>
      <c r="M64" s="13"/>
      <c r="N64" s="13"/>
      <c r="O64" s="13"/>
      <c r="P64" s="13"/>
      <c r="Q64" s="13"/>
      <c r="R64" s="13"/>
      <c r="S64" s="13"/>
      <c r="T64" s="13"/>
    </row>
    <row r="65" spans="1:20">
      <c r="A65" s="26"/>
      <c r="B65" s="26"/>
      <c r="C65" s="26"/>
      <c r="D65" s="26"/>
      <c r="E65" s="26"/>
      <c r="F65" s="13"/>
      <c r="G65" s="13"/>
      <c r="H65" s="13"/>
      <c r="I65" s="13"/>
      <c r="J65" s="13"/>
      <c r="K65" s="13"/>
      <c r="L65" s="13"/>
      <c r="M65" s="13"/>
      <c r="N65" s="13"/>
      <c r="O65" s="13"/>
      <c r="P65" s="13"/>
      <c r="Q65" s="13"/>
      <c r="R65" s="13"/>
      <c r="S65" s="13"/>
      <c r="T65" s="13"/>
    </row>
    <row r="66" spans="1:20">
      <c r="A66" s="26"/>
      <c r="B66" s="26"/>
      <c r="C66" s="26"/>
      <c r="D66" s="26"/>
      <c r="E66" s="26"/>
      <c r="F66" s="13"/>
      <c r="G66" s="13"/>
      <c r="H66" s="13"/>
      <c r="I66" s="13"/>
      <c r="J66" s="13"/>
      <c r="K66" s="13"/>
      <c r="L66" s="13"/>
      <c r="M66" s="13"/>
      <c r="N66" s="13"/>
      <c r="O66" s="13"/>
      <c r="P66" s="13"/>
      <c r="Q66" s="13"/>
      <c r="R66" s="13"/>
      <c r="S66" s="13"/>
      <c r="T66" s="13"/>
    </row>
    <row r="67" spans="1:20">
      <c r="A67" s="26"/>
      <c r="B67" s="26"/>
      <c r="C67" s="26"/>
      <c r="D67" s="26"/>
      <c r="E67" s="26"/>
      <c r="F67" s="13"/>
      <c r="G67" s="13"/>
      <c r="H67" s="13"/>
      <c r="I67" s="13"/>
      <c r="J67" s="13"/>
      <c r="K67" s="13"/>
      <c r="L67" s="13"/>
      <c r="M67" s="13"/>
      <c r="N67" s="13"/>
      <c r="O67" s="13"/>
      <c r="P67" s="13"/>
      <c r="Q67" s="13"/>
      <c r="R67" s="13"/>
      <c r="S67" s="13"/>
      <c r="T67" s="13"/>
    </row>
    <row r="68" spans="1:20">
      <c r="A68" s="26"/>
      <c r="B68" s="26"/>
      <c r="C68" s="26"/>
      <c r="D68" s="26"/>
      <c r="E68" s="26"/>
      <c r="F68" s="13"/>
      <c r="G68" s="13"/>
      <c r="H68" s="13"/>
      <c r="I68" s="13"/>
      <c r="J68" s="13"/>
      <c r="K68" s="13"/>
      <c r="L68" s="13"/>
      <c r="M68" s="13"/>
      <c r="N68" s="13"/>
      <c r="O68" s="13"/>
      <c r="P68" s="13"/>
      <c r="Q68" s="13"/>
      <c r="R68" s="13"/>
      <c r="S68" s="13"/>
      <c r="T68" s="13"/>
    </row>
    <row r="69" spans="1:20">
      <c r="A69" s="26"/>
      <c r="B69" s="26"/>
      <c r="C69" s="26"/>
      <c r="D69" s="26"/>
      <c r="E69" s="26"/>
      <c r="F69" s="13"/>
      <c r="G69" s="13"/>
      <c r="H69" s="13"/>
      <c r="I69" s="13"/>
      <c r="J69" s="13"/>
      <c r="K69" s="13"/>
      <c r="L69" s="13"/>
      <c r="M69" s="13"/>
      <c r="N69" s="13"/>
      <c r="O69" s="13"/>
      <c r="P69" s="13"/>
      <c r="Q69" s="13"/>
      <c r="R69" s="13"/>
      <c r="S69" s="13"/>
      <c r="T69" s="13"/>
    </row>
    <row r="70" spans="1:20">
      <c r="A70" s="26"/>
      <c r="B70" s="26"/>
      <c r="C70" s="26"/>
      <c r="D70" s="26"/>
      <c r="E70" s="26"/>
      <c r="F70" s="13"/>
      <c r="G70" s="13"/>
      <c r="H70" s="13"/>
      <c r="I70" s="13"/>
      <c r="J70" s="13"/>
      <c r="K70" s="13"/>
      <c r="L70" s="13"/>
      <c r="M70" s="13"/>
      <c r="N70" s="13"/>
      <c r="O70" s="13"/>
      <c r="P70" s="13"/>
      <c r="Q70" s="13"/>
      <c r="R70" s="13"/>
      <c r="S70" s="13"/>
      <c r="T70" s="13"/>
    </row>
    <row r="71" spans="1:20">
      <c r="A71" s="26"/>
      <c r="B71" s="26"/>
      <c r="C71" s="26"/>
      <c r="D71" s="26"/>
      <c r="E71" s="26"/>
      <c r="F71" s="13"/>
      <c r="G71" s="13"/>
      <c r="H71" s="13"/>
      <c r="I71" s="13"/>
      <c r="J71" s="13"/>
      <c r="K71" s="13"/>
      <c r="L71" s="13"/>
      <c r="M71" s="13"/>
      <c r="N71" s="13"/>
      <c r="O71" s="13"/>
      <c r="P71" s="13"/>
      <c r="Q71" s="13"/>
      <c r="R71" s="13"/>
      <c r="S71" s="13"/>
      <c r="T71" s="13"/>
    </row>
    <row r="72" spans="1:20">
      <c r="A72" s="26"/>
      <c r="B72" s="26"/>
      <c r="C72" s="26"/>
      <c r="D72" s="26"/>
      <c r="E72" s="26"/>
      <c r="F72" s="13"/>
      <c r="G72" s="13"/>
      <c r="H72" s="13"/>
      <c r="I72" s="13"/>
      <c r="J72" s="13"/>
      <c r="K72" s="13"/>
      <c r="L72" s="13"/>
      <c r="M72" s="13"/>
      <c r="N72" s="13"/>
      <c r="O72" s="13"/>
      <c r="P72" s="13"/>
      <c r="Q72" s="13"/>
      <c r="R72" s="13"/>
      <c r="S72" s="13"/>
      <c r="T72" s="13"/>
    </row>
    <row r="73" spans="1:20">
      <c r="A73" s="26"/>
      <c r="B73" s="26"/>
      <c r="C73" s="26"/>
      <c r="D73" s="26"/>
      <c r="E73" s="26"/>
      <c r="F73" s="13"/>
      <c r="G73" s="13"/>
      <c r="H73" s="13"/>
      <c r="I73" s="13"/>
      <c r="J73" s="13"/>
      <c r="K73" s="13"/>
      <c r="L73" s="13"/>
      <c r="M73" s="13"/>
      <c r="N73" s="13"/>
      <c r="O73" s="13"/>
      <c r="P73" s="13"/>
      <c r="Q73" s="13"/>
      <c r="R73" s="13"/>
      <c r="S73" s="13"/>
      <c r="T73" s="13"/>
    </row>
    <row r="74" spans="1:20">
      <c r="A74" s="26"/>
      <c r="B74" s="26"/>
      <c r="C74" s="26"/>
      <c r="D74" s="26"/>
      <c r="E74" s="26"/>
      <c r="F74" s="13"/>
      <c r="G74" s="13"/>
      <c r="H74" s="13"/>
      <c r="I74" s="13"/>
      <c r="J74" s="13"/>
      <c r="K74" s="13"/>
      <c r="L74" s="13"/>
      <c r="M74" s="13"/>
      <c r="N74" s="13"/>
      <c r="O74" s="13"/>
      <c r="P74" s="13"/>
      <c r="Q74" s="13"/>
      <c r="R74" s="13"/>
      <c r="S74" s="13"/>
      <c r="T74" s="13"/>
    </row>
    <row r="75" spans="1:20">
      <c r="A75" s="26"/>
      <c r="B75" s="26"/>
      <c r="C75" s="26"/>
      <c r="D75" s="26"/>
      <c r="E75" s="26"/>
      <c r="F75" s="13"/>
      <c r="G75" s="13"/>
      <c r="H75" s="13"/>
      <c r="I75" s="13"/>
      <c r="J75" s="13"/>
      <c r="K75" s="13"/>
      <c r="L75" s="13"/>
      <c r="M75" s="13"/>
      <c r="N75" s="13"/>
      <c r="O75" s="13"/>
      <c r="P75" s="13"/>
      <c r="Q75" s="13"/>
      <c r="R75" s="13"/>
      <c r="S75" s="13"/>
      <c r="T75" s="13"/>
    </row>
    <row r="76" spans="1:20">
      <c r="A76" s="26"/>
      <c r="B76" s="26"/>
      <c r="C76" s="26"/>
      <c r="D76" s="26"/>
      <c r="E76" s="26"/>
      <c r="F76" s="13"/>
      <c r="G76" s="13"/>
      <c r="H76" s="13"/>
      <c r="I76" s="13"/>
      <c r="J76" s="13"/>
      <c r="K76" s="13"/>
      <c r="L76" s="13"/>
      <c r="M76" s="13"/>
      <c r="N76" s="13"/>
      <c r="O76" s="13"/>
      <c r="P76" s="13"/>
      <c r="Q76" s="13"/>
      <c r="R76" s="13"/>
      <c r="S76" s="13"/>
      <c r="T76" s="13"/>
    </row>
    <row r="77" spans="1:20">
      <c r="A77" s="26"/>
      <c r="B77" s="26"/>
      <c r="C77" s="26"/>
      <c r="D77" s="26"/>
      <c r="E77" s="26"/>
      <c r="F77" s="13"/>
      <c r="G77" s="13"/>
      <c r="H77" s="13"/>
      <c r="I77" s="13"/>
      <c r="J77" s="13"/>
      <c r="K77" s="13"/>
      <c r="L77" s="13"/>
      <c r="M77" s="13"/>
      <c r="N77" s="13"/>
      <c r="O77" s="13"/>
      <c r="P77" s="13"/>
      <c r="Q77" s="13"/>
      <c r="R77" s="13"/>
      <c r="S77" s="13"/>
      <c r="T77" s="13"/>
    </row>
    <row r="78" spans="1:20">
      <c r="A78" s="26"/>
      <c r="B78" s="26"/>
      <c r="C78" s="26"/>
      <c r="D78" s="26"/>
      <c r="E78" s="26"/>
      <c r="F78" s="13"/>
      <c r="G78" s="13"/>
      <c r="H78" s="13"/>
      <c r="I78" s="13"/>
      <c r="J78" s="13"/>
      <c r="K78" s="13"/>
      <c r="L78" s="13"/>
      <c r="M78" s="13"/>
      <c r="N78" s="13"/>
      <c r="O78" s="13"/>
      <c r="P78" s="13"/>
      <c r="Q78" s="13"/>
      <c r="R78" s="13"/>
      <c r="S78" s="13"/>
      <c r="T78" s="13"/>
    </row>
    <row r="79" spans="1:20">
      <c r="A79" s="26"/>
      <c r="B79" s="26"/>
      <c r="C79" s="26"/>
      <c r="D79" s="26"/>
      <c r="E79" s="26"/>
      <c r="F79" s="13"/>
      <c r="G79" s="13"/>
      <c r="H79" s="13"/>
      <c r="I79" s="13"/>
      <c r="J79" s="13"/>
      <c r="K79" s="13"/>
      <c r="L79" s="13"/>
      <c r="M79" s="13"/>
      <c r="N79" s="13"/>
      <c r="O79" s="13"/>
      <c r="P79" s="13"/>
      <c r="Q79" s="13"/>
      <c r="R79" s="13"/>
      <c r="S79" s="13"/>
      <c r="T79" s="13"/>
    </row>
    <row r="80" spans="1:20">
      <c r="A80" s="26"/>
      <c r="B80" s="26"/>
      <c r="C80" s="26"/>
      <c r="D80" s="26"/>
      <c r="E80" s="26"/>
      <c r="F80" s="13"/>
      <c r="G80" s="13"/>
      <c r="H80" s="13"/>
      <c r="I80" s="13"/>
      <c r="J80" s="13"/>
      <c r="K80" s="13"/>
      <c r="L80" s="13"/>
      <c r="M80" s="13"/>
      <c r="N80" s="13"/>
      <c r="O80" s="13"/>
      <c r="P80" s="13"/>
      <c r="Q80" s="13"/>
      <c r="R80" s="13"/>
      <c r="S80" s="13"/>
      <c r="T80" s="13"/>
    </row>
    <row r="81" spans="1:20">
      <c r="A81" s="26"/>
      <c r="B81" s="26"/>
      <c r="C81" s="26"/>
      <c r="D81" s="26"/>
      <c r="E81" s="26"/>
      <c r="F81" s="13"/>
      <c r="G81" s="13"/>
      <c r="H81" s="13"/>
      <c r="I81" s="13"/>
      <c r="J81" s="13"/>
      <c r="K81" s="13"/>
      <c r="L81" s="13"/>
      <c r="M81" s="13"/>
      <c r="N81" s="13"/>
      <c r="O81" s="13"/>
      <c r="P81" s="13"/>
      <c r="Q81" s="13"/>
      <c r="R81" s="13"/>
      <c r="S81" s="13"/>
      <c r="T81" s="13"/>
    </row>
    <row r="82" spans="1:20">
      <c r="A82" s="26"/>
      <c r="B82" s="26"/>
      <c r="C82" s="26"/>
      <c r="D82" s="26"/>
      <c r="E82" s="26"/>
      <c r="F82" s="13"/>
      <c r="G82" s="13"/>
      <c r="H82" s="13"/>
      <c r="I82" s="13"/>
      <c r="J82" s="13"/>
      <c r="K82" s="13"/>
      <c r="L82" s="13"/>
      <c r="M82" s="13"/>
      <c r="N82" s="13"/>
      <c r="O82" s="13"/>
      <c r="P82" s="13"/>
      <c r="Q82" s="13"/>
      <c r="R82" s="13"/>
      <c r="S82" s="13"/>
      <c r="T82" s="13"/>
    </row>
    <row r="83" spans="1:20">
      <c r="A83" s="26"/>
      <c r="B83" s="26"/>
      <c r="C83" s="26"/>
      <c r="D83" s="26"/>
      <c r="E83" s="26"/>
      <c r="F83" s="13"/>
      <c r="G83" s="13"/>
      <c r="H83" s="13"/>
      <c r="I83" s="13"/>
      <c r="J83" s="13"/>
      <c r="K83" s="13"/>
      <c r="L83" s="13"/>
      <c r="M83" s="13"/>
      <c r="N83" s="13"/>
      <c r="O83" s="13"/>
      <c r="P83" s="13"/>
      <c r="Q83" s="13"/>
      <c r="R83" s="13"/>
      <c r="S83" s="13"/>
      <c r="T83" s="13"/>
    </row>
    <row r="84" spans="1:20">
      <c r="A84" s="26"/>
      <c r="B84" s="26"/>
      <c r="C84" s="26"/>
      <c r="D84" s="26"/>
      <c r="E84" s="26"/>
      <c r="F84" s="13"/>
      <c r="G84" s="13"/>
      <c r="H84" s="13"/>
      <c r="I84" s="13"/>
      <c r="J84" s="13"/>
      <c r="K84" s="13"/>
      <c r="L84" s="13"/>
      <c r="M84" s="13"/>
      <c r="N84" s="13"/>
      <c r="O84" s="13"/>
      <c r="P84" s="13"/>
      <c r="Q84" s="13"/>
      <c r="R84" s="13"/>
      <c r="S84" s="13"/>
      <c r="T84" s="13"/>
    </row>
    <row r="85" spans="1:20">
      <c r="A85" s="26"/>
      <c r="B85" s="26"/>
      <c r="C85" s="26"/>
      <c r="D85" s="26"/>
      <c r="E85" s="26"/>
      <c r="F85" s="13"/>
      <c r="G85" s="13"/>
      <c r="H85" s="13"/>
      <c r="I85" s="13"/>
      <c r="J85" s="13"/>
      <c r="K85" s="13"/>
      <c r="L85" s="13"/>
      <c r="M85" s="13"/>
      <c r="N85" s="13"/>
      <c r="O85" s="13"/>
      <c r="P85" s="13"/>
      <c r="Q85" s="13"/>
      <c r="R85" s="13"/>
      <c r="S85" s="13"/>
      <c r="T85" s="13"/>
    </row>
    <row r="86" spans="1:20">
      <c r="A86" s="26"/>
      <c r="B86" s="26"/>
      <c r="C86" s="26"/>
      <c r="D86" s="26"/>
      <c r="E86" s="26"/>
      <c r="F86" s="13"/>
      <c r="G86" s="13"/>
      <c r="H86" s="13"/>
      <c r="I86" s="13"/>
      <c r="J86" s="13"/>
      <c r="K86" s="13"/>
      <c r="L86" s="13"/>
      <c r="M86" s="13"/>
      <c r="N86" s="13"/>
      <c r="O86" s="13"/>
      <c r="P86" s="13"/>
      <c r="Q86" s="13"/>
      <c r="R86" s="13"/>
      <c r="S86" s="13"/>
      <c r="T86" s="13"/>
    </row>
    <row r="87" spans="1:20">
      <c r="A87" s="26"/>
      <c r="B87" s="26"/>
      <c r="C87" s="26"/>
      <c r="D87" s="26"/>
      <c r="E87" s="26"/>
      <c r="F87" s="13"/>
      <c r="G87" s="13"/>
      <c r="H87" s="13"/>
      <c r="I87" s="13"/>
      <c r="J87" s="13"/>
      <c r="K87" s="13"/>
      <c r="L87" s="13"/>
      <c r="M87" s="13"/>
      <c r="N87" s="13"/>
      <c r="O87" s="13"/>
      <c r="P87" s="13"/>
      <c r="Q87" s="13"/>
      <c r="R87" s="13"/>
      <c r="S87" s="13"/>
      <c r="T87" s="13"/>
    </row>
    <row r="88" spans="1:20">
      <c r="A88" s="26"/>
      <c r="B88" s="26"/>
      <c r="C88" s="26"/>
      <c r="D88" s="26"/>
      <c r="E88" s="26"/>
      <c r="F88" s="13"/>
      <c r="G88" s="13"/>
      <c r="H88" s="13"/>
      <c r="I88" s="13"/>
      <c r="J88" s="13"/>
      <c r="K88" s="13"/>
      <c r="L88" s="13"/>
      <c r="M88" s="13"/>
      <c r="N88" s="13"/>
      <c r="O88" s="13"/>
      <c r="P88" s="13"/>
      <c r="Q88" s="13"/>
      <c r="R88" s="13"/>
      <c r="S88" s="13"/>
      <c r="T88" s="13"/>
    </row>
    <row r="89" spans="1:20">
      <c r="A89" s="26"/>
      <c r="B89" s="26"/>
      <c r="C89" s="26"/>
      <c r="D89" s="26"/>
      <c r="E89" s="26"/>
      <c r="F89" s="13"/>
      <c r="G89" s="13"/>
      <c r="H89" s="13"/>
      <c r="I89" s="13"/>
      <c r="J89" s="13"/>
      <c r="K89" s="13"/>
      <c r="L89" s="13"/>
      <c r="M89" s="13"/>
      <c r="N89" s="13"/>
      <c r="O89" s="13"/>
      <c r="P89" s="13"/>
      <c r="Q89" s="13"/>
      <c r="R89" s="13"/>
      <c r="S89" s="13"/>
      <c r="T89" s="13"/>
    </row>
    <row r="90" spans="1:20">
      <c r="A90" s="26"/>
      <c r="B90" s="26"/>
      <c r="C90" s="26"/>
      <c r="D90" s="26"/>
      <c r="E90" s="26"/>
      <c r="F90" s="13"/>
      <c r="G90" s="13"/>
      <c r="H90" s="13"/>
      <c r="I90" s="13"/>
      <c r="J90" s="13"/>
      <c r="K90" s="13"/>
      <c r="L90" s="13"/>
      <c r="M90" s="13"/>
      <c r="N90" s="13"/>
      <c r="O90" s="13"/>
      <c r="P90" s="13"/>
      <c r="Q90" s="13"/>
      <c r="R90" s="13"/>
      <c r="S90" s="13"/>
      <c r="T90" s="13"/>
    </row>
    <row r="91" spans="1:20">
      <c r="A91" s="26"/>
      <c r="B91" s="26"/>
      <c r="C91" s="26"/>
      <c r="D91" s="26"/>
      <c r="E91" s="26"/>
      <c r="F91" s="13"/>
      <c r="G91" s="13"/>
      <c r="H91" s="13"/>
      <c r="I91" s="13"/>
      <c r="J91" s="13"/>
      <c r="K91" s="13"/>
      <c r="L91" s="13"/>
      <c r="M91" s="13"/>
      <c r="N91" s="13"/>
      <c r="O91" s="13"/>
      <c r="P91" s="13"/>
      <c r="Q91" s="13"/>
      <c r="R91" s="13"/>
      <c r="S91" s="13"/>
      <c r="T91" s="13"/>
    </row>
    <row r="92" spans="1:20">
      <c r="A92" s="26"/>
      <c r="B92" s="26"/>
      <c r="C92" s="26"/>
      <c r="D92" s="26"/>
      <c r="E92" s="26"/>
      <c r="F92" s="13"/>
      <c r="G92" s="13"/>
      <c r="H92" s="13"/>
      <c r="I92" s="13"/>
      <c r="J92" s="13"/>
      <c r="K92" s="13"/>
      <c r="L92" s="13"/>
      <c r="M92" s="13"/>
      <c r="N92" s="13"/>
      <c r="O92" s="13"/>
      <c r="P92" s="13"/>
      <c r="Q92" s="13"/>
      <c r="R92" s="13"/>
      <c r="S92" s="13"/>
      <c r="T92" s="13"/>
    </row>
    <row r="93" spans="1:20">
      <c r="A93" s="26"/>
      <c r="B93" s="26"/>
      <c r="C93" s="26"/>
      <c r="D93" s="26"/>
      <c r="E93" s="26"/>
      <c r="F93" s="13"/>
      <c r="G93" s="13"/>
      <c r="H93" s="13"/>
      <c r="I93" s="13"/>
      <c r="J93" s="13"/>
      <c r="K93" s="13"/>
      <c r="L93" s="13"/>
      <c r="M93" s="13"/>
      <c r="N93" s="13"/>
      <c r="O93" s="13"/>
      <c r="P93" s="13"/>
      <c r="Q93" s="13"/>
      <c r="R93" s="13"/>
      <c r="S93" s="13"/>
      <c r="T93" s="13"/>
    </row>
    <row r="94" spans="1:20">
      <c r="A94" s="26"/>
      <c r="B94" s="26"/>
      <c r="C94" s="26"/>
      <c r="D94" s="26"/>
      <c r="E94" s="26"/>
      <c r="F94" s="13"/>
      <c r="G94" s="13"/>
      <c r="H94" s="13"/>
      <c r="I94" s="13"/>
      <c r="J94" s="13"/>
      <c r="K94" s="13"/>
      <c r="L94" s="13"/>
      <c r="M94" s="13"/>
      <c r="N94" s="13"/>
      <c r="O94" s="13"/>
      <c r="P94" s="13"/>
      <c r="Q94" s="13"/>
      <c r="R94" s="13"/>
      <c r="S94" s="13"/>
      <c r="T94" s="13"/>
    </row>
    <row r="95" spans="1:20">
      <c r="A95" s="26"/>
      <c r="B95" s="26"/>
      <c r="C95" s="26"/>
      <c r="D95" s="26"/>
      <c r="E95" s="26"/>
      <c r="F95" s="13"/>
      <c r="G95" s="13"/>
      <c r="H95" s="13"/>
      <c r="I95" s="13"/>
      <c r="J95" s="13"/>
      <c r="K95" s="13"/>
      <c r="L95" s="13"/>
      <c r="M95" s="13"/>
      <c r="N95" s="13"/>
      <c r="O95" s="13"/>
      <c r="P95" s="13"/>
      <c r="Q95" s="13"/>
      <c r="R95" s="13"/>
      <c r="S95" s="13"/>
      <c r="T95" s="13"/>
    </row>
    <row r="96" spans="1:20">
      <c r="A96" s="26"/>
      <c r="B96" s="26"/>
      <c r="C96" s="26"/>
      <c r="D96" s="26"/>
      <c r="E96" s="26"/>
      <c r="F96" s="13"/>
      <c r="G96" s="13"/>
      <c r="H96" s="13"/>
      <c r="I96" s="13"/>
      <c r="J96" s="13"/>
      <c r="K96" s="13"/>
      <c r="L96" s="13"/>
      <c r="M96" s="13"/>
      <c r="N96" s="13"/>
      <c r="O96" s="13"/>
      <c r="P96" s="13"/>
      <c r="Q96" s="13"/>
      <c r="R96" s="13"/>
      <c r="S96" s="13"/>
      <c r="T96" s="13"/>
    </row>
    <row r="97" spans="1:20">
      <c r="A97" s="26"/>
      <c r="B97" s="26"/>
      <c r="C97" s="26"/>
      <c r="D97" s="26"/>
      <c r="E97" s="26"/>
      <c r="F97" s="13"/>
      <c r="G97" s="13"/>
      <c r="H97" s="13"/>
      <c r="I97" s="13"/>
      <c r="J97" s="13"/>
      <c r="K97" s="13"/>
      <c r="L97" s="13"/>
      <c r="M97" s="13"/>
      <c r="N97" s="13"/>
      <c r="O97" s="13"/>
      <c r="P97" s="13"/>
      <c r="Q97" s="13"/>
      <c r="R97" s="13"/>
      <c r="S97" s="13"/>
      <c r="T97" s="13"/>
    </row>
    <row r="98" spans="1:20">
      <c r="A98" s="26"/>
      <c r="B98" s="26"/>
      <c r="C98" s="26"/>
      <c r="D98" s="26"/>
      <c r="E98" s="26"/>
      <c r="F98" s="13"/>
      <c r="G98" s="13"/>
      <c r="H98" s="13"/>
      <c r="I98" s="13"/>
      <c r="J98" s="13"/>
      <c r="K98" s="13"/>
      <c r="L98" s="13"/>
      <c r="M98" s="13"/>
      <c r="N98" s="13"/>
      <c r="O98" s="13"/>
      <c r="P98" s="13"/>
      <c r="Q98" s="13"/>
      <c r="R98" s="13"/>
      <c r="S98" s="13"/>
      <c r="T98" s="13"/>
    </row>
    <row r="99" spans="1:20">
      <c r="A99" s="26"/>
      <c r="B99" s="26"/>
      <c r="C99" s="26"/>
      <c r="D99" s="26"/>
      <c r="E99" s="26"/>
      <c r="F99" s="13"/>
      <c r="G99" s="13"/>
      <c r="H99" s="13"/>
      <c r="I99" s="13"/>
      <c r="J99" s="13"/>
      <c r="K99" s="13"/>
      <c r="L99" s="13"/>
      <c r="M99" s="13"/>
      <c r="N99" s="13"/>
      <c r="O99" s="13"/>
      <c r="P99" s="13"/>
      <c r="Q99" s="13"/>
      <c r="R99" s="13"/>
      <c r="S99" s="13"/>
      <c r="T99" s="13"/>
    </row>
    <row r="100" spans="1:20">
      <c r="A100" s="26"/>
      <c r="B100" s="26"/>
      <c r="C100" s="26"/>
      <c r="D100" s="26"/>
      <c r="E100" s="26"/>
      <c r="F100" s="13"/>
      <c r="G100" s="13"/>
      <c r="H100" s="13"/>
      <c r="I100" s="13"/>
      <c r="J100" s="13"/>
      <c r="K100" s="13"/>
      <c r="L100" s="13"/>
      <c r="M100" s="13"/>
      <c r="N100" s="13"/>
      <c r="O100" s="13"/>
      <c r="P100" s="13"/>
      <c r="Q100" s="13"/>
      <c r="R100" s="13"/>
      <c r="S100" s="13"/>
      <c r="T100" s="13"/>
    </row>
    <row r="101" spans="1:20">
      <c r="A101" s="26"/>
      <c r="B101" s="26"/>
      <c r="C101" s="26"/>
      <c r="D101" s="26"/>
      <c r="E101" s="26"/>
      <c r="F101" s="13"/>
      <c r="G101" s="13"/>
      <c r="H101" s="13"/>
      <c r="I101" s="13"/>
      <c r="J101" s="13"/>
      <c r="K101" s="13"/>
      <c r="L101" s="13"/>
      <c r="M101" s="13"/>
      <c r="N101" s="13"/>
      <c r="O101" s="13"/>
      <c r="P101" s="13"/>
      <c r="Q101" s="13"/>
      <c r="R101" s="13"/>
      <c r="S101" s="13"/>
      <c r="T101" s="13"/>
    </row>
    <row r="102" spans="1:20">
      <c r="A102" s="26"/>
      <c r="B102" s="26"/>
      <c r="C102" s="26"/>
      <c r="D102" s="26"/>
      <c r="E102" s="26"/>
      <c r="F102" s="13"/>
      <c r="G102" s="13"/>
      <c r="H102" s="13"/>
      <c r="I102" s="13"/>
      <c r="J102" s="13"/>
      <c r="K102" s="13"/>
      <c r="L102" s="13"/>
      <c r="M102" s="13"/>
      <c r="N102" s="13"/>
      <c r="O102" s="13"/>
      <c r="P102" s="13"/>
      <c r="Q102" s="13"/>
      <c r="R102" s="13"/>
      <c r="S102" s="13"/>
      <c r="T102" s="13"/>
    </row>
    <row r="103" spans="1:20">
      <c r="A103" s="26"/>
      <c r="B103" s="26"/>
      <c r="C103" s="26"/>
      <c r="D103" s="26"/>
      <c r="E103" s="26"/>
      <c r="F103" s="13"/>
      <c r="G103" s="13"/>
      <c r="H103" s="13"/>
      <c r="I103" s="13"/>
      <c r="J103" s="13"/>
      <c r="K103" s="13"/>
      <c r="L103" s="13"/>
      <c r="M103" s="13"/>
      <c r="N103" s="13"/>
      <c r="O103" s="13"/>
      <c r="P103" s="13"/>
      <c r="Q103" s="13"/>
      <c r="R103" s="13"/>
      <c r="S103" s="13"/>
      <c r="T103" s="13"/>
    </row>
    <row r="104" spans="1:20">
      <c r="A104" s="26"/>
      <c r="B104" s="26"/>
      <c r="C104" s="26"/>
      <c r="D104" s="26"/>
      <c r="E104" s="26"/>
      <c r="F104" s="13"/>
      <c r="G104" s="13"/>
      <c r="H104" s="13"/>
      <c r="I104" s="13"/>
      <c r="J104" s="13"/>
      <c r="K104" s="13"/>
      <c r="L104" s="13"/>
      <c r="M104" s="13"/>
      <c r="N104" s="13"/>
      <c r="O104" s="13"/>
      <c r="P104" s="13"/>
      <c r="Q104" s="13"/>
      <c r="R104" s="13"/>
      <c r="S104" s="13"/>
      <c r="T104" s="13"/>
    </row>
    <row r="105" spans="1:20">
      <c r="A105" s="26"/>
      <c r="B105" s="26"/>
      <c r="C105" s="26"/>
      <c r="D105" s="26"/>
      <c r="E105" s="26"/>
      <c r="F105" s="13"/>
      <c r="G105" s="13"/>
      <c r="H105" s="13"/>
      <c r="I105" s="13"/>
      <c r="J105" s="13"/>
      <c r="K105" s="13"/>
      <c r="L105" s="13"/>
      <c r="M105" s="13"/>
      <c r="N105" s="13"/>
      <c r="O105" s="13"/>
      <c r="P105" s="13"/>
      <c r="Q105" s="13"/>
      <c r="R105" s="13"/>
      <c r="S105" s="13"/>
      <c r="T105" s="13"/>
    </row>
    <row r="106" spans="1:20">
      <c r="A106" s="26"/>
      <c r="B106" s="26"/>
      <c r="C106" s="26"/>
      <c r="D106" s="26"/>
      <c r="E106" s="26"/>
      <c r="F106" s="13"/>
      <c r="G106" s="13"/>
      <c r="H106" s="13"/>
      <c r="I106" s="13"/>
      <c r="J106" s="13"/>
      <c r="K106" s="13"/>
      <c r="L106" s="13"/>
      <c r="M106" s="13"/>
      <c r="N106" s="13"/>
      <c r="O106" s="13"/>
      <c r="P106" s="13"/>
      <c r="Q106" s="13"/>
      <c r="R106" s="13"/>
      <c r="S106" s="13"/>
      <c r="T106" s="13"/>
    </row>
    <row r="107" spans="1:20">
      <c r="A107" s="26"/>
      <c r="B107" s="26"/>
      <c r="C107" s="26"/>
      <c r="D107" s="26"/>
      <c r="E107" s="26"/>
      <c r="F107" s="13"/>
      <c r="G107" s="13"/>
      <c r="H107" s="13"/>
      <c r="I107" s="13"/>
      <c r="J107" s="13"/>
      <c r="K107" s="13"/>
      <c r="L107" s="13"/>
      <c r="M107" s="13"/>
      <c r="N107" s="13"/>
      <c r="O107" s="13"/>
      <c r="P107" s="13"/>
      <c r="Q107" s="13"/>
      <c r="R107" s="13"/>
      <c r="S107" s="13"/>
      <c r="T107" s="13"/>
    </row>
    <row r="108" spans="1:20">
      <c r="A108" s="26"/>
      <c r="B108" s="26"/>
      <c r="C108" s="26"/>
      <c r="D108" s="26"/>
      <c r="E108" s="26"/>
      <c r="F108" s="13"/>
      <c r="G108" s="13"/>
      <c r="H108" s="13"/>
      <c r="I108" s="13"/>
      <c r="J108" s="13"/>
      <c r="K108" s="13"/>
      <c r="L108" s="13"/>
      <c r="M108" s="13"/>
      <c r="N108" s="13"/>
      <c r="O108" s="13"/>
      <c r="P108" s="13"/>
      <c r="Q108" s="13"/>
      <c r="R108" s="13"/>
      <c r="S108" s="13"/>
      <c r="T108" s="13"/>
    </row>
    <row r="109" spans="1:20">
      <c r="A109" s="26"/>
      <c r="B109" s="26"/>
      <c r="C109" s="26"/>
      <c r="D109" s="26"/>
      <c r="E109" s="26"/>
      <c r="F109" s="13"/>
      <c r="G109" s="13"/>
      <c r="H109" s="13"/>
      <c r="I109" s="13"/>
      <c r="J109" s="13"/>
      <c r="K109" s="13"/>
      <c r="L109" s="13"/>
      <c r="M109" s="13"/>
      <c r="N109" s="13"/>
      <c r="O109" s="13"/>
      <c r="P109" s="13"/>
      <c r="Q109" s="13"/>
      <c r="R109" s="13"/>
      <c r="S109" s="13"/>
      <c r="T109" s="13"/>
    </row>
    <row r="110" spans="1:20">
      <c r="A110" s="26"/>
      <c r="B110" s="26"/>
      <c r="C110" s="26"/>
      <c r="D110" s="26"/>
      <c r="E110" s="26"/>
      <c r="F110" s="13"/>
      <c r="G110" s="13"/>
      <c r="H110" s="13"/>
      <c r="I110" s="13"/>
      <c r="J110" s="13"/>
      <c r="K110" s="13"/>
      <c r="L110" s="13"/>
      <c r="M110" s="13"/>
      <c r="N110" s="13"/>
      <c r="O110" s="13"/>
      <c r="P110" s="13"/>
      <c r="Q110" s="13"/>
      <c r="R110" s="13"/>
      <c r="S110" s="13"/>
      <c r="T110" s="13"/>
    </row>
    <row r="111" spans="1:20">
      <c r="A111" s="26"/>
      <c r="B111" s="26"/>
      <c r="C111" s="26"/>
      <c r="D111" s="26"/>
      <c r="E111" s="26"/>
      <c r="F111" s="13"/>
      <c r="G111" s="13"/>
      <c r="H111" s="13"/>
      <c r="I111" s="13"/>
      <c r="J111" s="13"/>
      <c r="K111" s="13"/>
      <c r="L111" s="13"/>
      <c r="M111" s="13"/>
      <c r="N111" s="13"/>
      <c r="O111" s="13"/>
      <c r="P111" s="13"/>
      <c r="Q111" s="13"/>
      <c r="R111" s="13"/>
      <c r="S111" s="13"/>
      <c r="T111" s="13"/>
    </row>
    <row r="112" spans="1:20">
      <c r="A112" s="26"/>
      <c r="B112" s="26"/>
      <c r="C112" s="26"/>
      <c r="D112" s="26"/>
      <c r="E112" s="26"/>
      <c r="F112" s="13"/>
      <c r="G112" s="13"/>
      <c r="H112" s="13"/>
      <c r="I112" s="13"/>
      <c r="J112" s="13"/>
      <c r="K112" s="13"/>
      <c r="L112" s="13"/>
      <c r="M112" s="13"/>
      <c r="N112" s="13"/>
      <c r="O112" s="13"/>
      <c r="P112" s="13"/>
      <c r="Q112" s="13"/>
      <c r="R112" s="13"/>
      <c r="S112" s="13"/>
      <c r="T112" s="13"/>
    </row>
    <row r="113" spans="1:20">
      <c r="A113" s="26"/>
      <c r="B113" s="26"/>
      <c r="C113" s="26"/>
      <c r="D113" s="26"/>
      <c r="E113" s="26"/>
      <c r="F113" s="13"/>
      <c r="G113" s="13"/>
      <c r="H113" s="13"/>
      <c r="I113" s="13"/>
      <c r="J113" s="13"/>
      <c r="K113" s="13"/>
      <c r="L113" s="13"/>
      <c r="M113" s="13"/>
      <c r="N113" s="13"/>
      <c r="O113" s="13"/>
      <c r="P113" s="13"/>
      <c r="Q113" s="13"/>
      <c r="R113" s="13"/>
      <c r="S113" s="13"/>
      <c r="T113" s="13"/>
    </row>
    <row r="114" spans="1:20">
      <c r="A114" s="26"/>
      <c r="B114" s="26"/>
      <c r="C114" s="26"/>
      <c r="D114" s="26"/>
      <c r="E114" s="26"/>
      <c r="F114" s="13"/>
      <c r="G114" s="13"/>
      <c r="H114" s="13"/>
      <c r="I114" s="13"/>
      <c r="J114" s="13"/>
      <c r="K114" s="13"/>
      <c r="L114" s="13"/>
      <c r="M114" s="13"/>
      <c r="N114" s="13"/>
      <c r="O114" s="13"/>
      <c r="P114" s="13"/>
      <c r="Q114" s="13"/>
      <c r="R114" s="13"/>
      <c r="S114" s="13"/>
      <c r="T114" s="13"/>
    </row>
    <row r="115" spans="1:20">
      <c r="A115" s="26"/>
      <c r="B115" s="26"/>
      <c r="C115" s="26"/>
      <c r="D115" s="26"/>
      <c r="E115" s="26"/>
      <c r="F115" s="13"/>
      <c r="G115" s="13"/>
      <c r="H115" s="13"/>
      <c r="I115" s="13"/>
      <c r="J115" s="13"/>
      <c r="K115" s="13"/>
      <c r="L115" s="13"/>
      <c r="M115" s="13"/>
      <c r="N115" s="13"/>
      <c r="O115" s="13"/>
      <c r="P115" s="13"/>
      <c r="Q115" s="13"/>
      <c r="R115" s="13"/>
      <c r="S115" s="13"/>
      <c r="T115" s="13"/>
    </row>
    <row r="116" spans="1:20">
      <c r="A116" s="26"/>
      <c r="B116" s="26"/>
      <c r="C116" s="26"/>
      <c r="D116" s="26"/>
      <c r="E116" s="26"/>
      <c r="F116" s="13"/>
      <c r="G116" s="13"/>
      <c r="H116" s="13"/>
      <c r="I116" s="13"/>
      <c r="J116" s="13"/>
      <c r="K116" s="13"/>
      <c r="L116" s="13"/>
      <c r="M116" s="13"/>
      <c r="N116" s="13"/>
      <c r="O116" s="13"/>
      <c r="P116" s="13"/>
      <c r="Q116" s="13"/>
      <c r="R116" s="13"/>
      <c r="S116" s="13"/>
      <c r="T116" s="13"/>
    </row>
    <row r="117" spans="1:20">
      <c r="A117" s="26"/>
      <c r="B117" s="26"/>
      <c r="C117" s="26"/>
      <c r="D117" s="26"/>
      <c r="E117" s="26"/>
      <c r="F117" s="13"/>
      <c r="G117" s="13"/>
      <c r="H117" s="13"/>
      <c r="I117" s="13"/>
      <c r="J117" s="13"/>
      <c r="K117" s="13"/>
      <c r="L117" s="13"/>
      <c r="M117" s="13"/>
      <c r="N117" s="13"/>
      <c r="O117" s="13"/>
      <c r="P117" s="13"/>
      <c r="Q117" s="13"/>
      <c r="R117" s="13"/>
      <c r="S117" s="13"/>
      <c r="T117" s="13"/>
    </row>
    <row r="118" spans="1:20">
      <c r="A118" s="26"/>
      <c r="B118" s="26"/>
      <c r="C118" s="26"/>
      <c r="D118" s="26"/>
      <c r="E118" s="26"/>
      <c r="F118" s="13"/>
      <c r="G118" s="13"/>
      <c r="H118" s="13"/>
      <c r="I118" s="13"/>
      <c r="J118" s="13"/>
      <c r="K118" s="13"/>
      <c r="L118" s="13"/>
      <c r="M118" s="13"/>
      <c r="N118" s="13"/>
      <c r="O118" s="13"/>
      <c r="P118" s="13"/>
      <c r="Q118" s="13"/>
      <c r="R118" s="13"/>
      <c r="S118" s="13"/>
      <c r="T118" s="13"/>
    </row>
    <row r="119" spans="1:20">
      <c r="A119" s="26"/>
      <c r="B119" s="26"/>
      <c r="C119" s="26"/>
      <c r="D119" s="26"/>
      <c r="E119" s="26"/>
      <c r="F119" s="13"/>
      <c r="G119" s="13"/>
      <c r="H119" s="13"/>
      <c r="I119" s="13"/>
      <c r="J119" s="13"/>
      <c r="K119" s="13"/>
      <c r="L119" s="13"/>
      <c r="M119" s="13"/>
      <c r="N119" s="13"/>
      <c r="O119" s="13"/>
      <c r="P119" s="13"/>
      <c r="Q119" s="13"/>
      <c r="R119" s="13"/>
      <c r="S119" s="13"/>
      <c r="T119" s="13"/>
    </row>
    <row r="120" spans="1:20">
      <c r="A120" s="26"/>
      <c r="B120" s="26"/>
      <c r="C120" s="26"/>
      <c r="D120" s="26"/>
      <c r="E120" s="26"/>
      <c r="F120" s="13"/>
      <c r="G120" s="13"/>
      <c r="H120" s="13"/>
      <c r="I120" s="13"/>
      <c r="J120" s="13"/>
      <c r="K120" s="13"/>
      <c r="L120" s="13"/>
      <c r="M120" s="13"/>
      <c r="N120" s="13"/>
      <c r="O120" s="13"/>
      <c r="P120" s="13"/>
      <c r="Q120" s="13"/>
      <c r="R120" s="13"/>
      <c r="S120" s="13"/>
      <c r="T120" s="13"/>
    </row>
    <row r="121" spans="1:20">
      <c r="A121" s="26"/>
      <c r="B121" s="26"/>
      <c r="C121" s="26"/>
      <c r="D121" s="26"/>
      <c r="E121" s="26"/>
      <c r="F121" s="13"/>
      <c r="G121" s="13"/>
      <c r="H121" s="13"/>
      <c r="I121" s="13"/>
      <c r="J121" s="13"/>
      <c r="K121" s="13"/>
      <c r="L121" s="13"/>
      <c r="M121" s="13"/>
      <c r="N121" s="13"/>
      <c r="O121" s="13"/>
      <c r="P121" s="13"/>
      <c r="Q121" s="13"/>
      <c r="R121" s="13"/>
      <c r="S121" s="13"/>
      <c r="T121" s="13"/>
    </row>
    <row r="122" spans="1:20">
      <c r="A122" s="26"/>
      <c r="B122" s="26"/>
      <c r="C122" s="26"/>
      <c r="D122" s="26"/>
      <c r="E122" s="26"/>
      <c r="F122" s="13"/>
      <c r="G122" s="13"/>
      <c r="H122" s="13"/>
      <c r="I122" s="13"/>
      <c r="J122" s="13"/>
      <c r="K122" s="13"/>
      <c r="L122" s="13"/>
      <c r="M122" s="13"/>
      <c r="N122" s="13"/>
      <c r="O122" s="13"/>
      <c r="P122" s="13"/>
      <c r="Q122" s="13"/>
      <c r="R122" s="13"/>
      <c r="S122" s="13"/>
      <c r="T122" s="13"/>
    </row>
    <row r="123" spans="1:20">
      <c r="A123" s="26"/>
      <c r="B123" s="26"/>
      <c r="C123" s="26"/>
      <c r="D123" s="26"/>
      <c r="E123" s="26"/>
      <c r="F123" s="13"/>
      <c r="G123" s="13"/>
      <c r="H123" s="13"/>
      <c r="I123" s="13"/>
      <c r="J123" s="13"/>
      <c r="K123" s="13"/>
      <c r="L123" s="13"/>
      <c r="M123" s="13"/>
      <c r="N123" s="13"/>
      <c r="O123" s="13"/>
      <c r="P123" s="13"/>
      <c r="Q123" s="13"/>
      <c r="R123" s="13"/>
      <c r="S123" s="13"/>
      <c r="T123" s="13"/>
    </row>
    <row r="124" spans="1:20">
      <c r="A124" s="26"/>
      <c r="B124" s="26"/>
      <c r="C124" s="26"/>
      <c r="D124" s="26"/>
      <c r="E124" s="26"/>
      <c r="F124" s="13"/>
      <c r="G124" s="13"/>
      <c r="H124" s="13"/>
      <c r="I124" s="13"/>
      <c r="J124" s="13"/>
      <c r="K124" s="13"/>
      <c r="L124" s="13"/>
      <c r="M124" s="13"/>
      <c r="N124" s="13"/>
      <c r="O124" s="13"/>
      <c r="P124" s="13"/>
      <c r="Q124" s="13"/>
      <c r="R124" s="13"/>
      <c r="S124" s="13"/>
      <c r="T124" s="13"/>
    </row>
    <row r="125" spans="1:20">
      <c r="A125" s="26"/>
      <c r="B125" s="26"/>
      <c r="C125" s="26"/>
      <c r="D125" s="26"/>
      <c r="E125" s="26"/>
      <c r="F125" s="13"/>
      <c r="G125" s="13"/>
      <c r="H125" s="13"/>
      <c r="I125" s="13"/>
      <c r="J125" s="13"/>
      <c r="K125" s="13"/>
      <c r="L125" s="13"/>
      <c r="M125" s="13"/>
      <c r="N125" s="13"/>
      <c r="O125" s="13"/>
      <c r="P125" s="13"/>
      <c r="Q125" s="13"/>
      <c r="R125" s="13"/>
      <c r="S125" s="13"/>
      <c r="T125" s="13"/>
    </row>
    <row r="126" spans="1:20">
      <c r="A126" s="26"/>
      <c r="B126" s="26"/>
      <c r="C126" s="26"/>
      <c r="D126" s="26"/>
      <c r="E126" s="26"/>
      <c r="F126" s="13"/>
      <c r="G126" s="13"/>
      <c r="H126" s="13"/>
      <c r="I126" s="13"/>
      <c r="J126" s="13"/>
      <c r="K126" s="13"/>
      <c r="L126" s="13"/>
      <c r="M126" s="13"/>
      <c r="N126" s="13"/>
      <c r="O126" s="13"/>
      <c r="P126" s="13"/>
      <c r="Q126" s="13"/>
      <c r="R126" s="13"/>
      <c r="S126" s="13"/>
      <c r="T126" s="13"/>
    </row>
    <row r="127" spans="1:20">
      <c r="A127" s="26"/>
      <c r="B127" s="26"/>
      <c r="C127" s="26"/>
      <c r="D127" s="26"/>
      <c r="E127" s="26"/>
      <c r="F127" s="13"/>
      <c r="G127" s="13"/>
      <c r="H127" s="13"/>
      <c r="I127" s="13"/>
      <c r="J127" s="13"/>
      <c r="K127" s="13"/>
      <c r="L127" s="13"/>
      <c r="M127" s="13"/>
      <c r="N127" s="13"/>
      <c r="O127" s="13"/>
      <c r="P127" s="13"/>
      <c r="Q127" s="13"/>
      <c r="R127" s="13"/>
      <c r="S127" s="13"/>
      <c r="T127" s="13"/>
    </row>
    <row r="128" spans="1:20">
      <c r="A128" s="26"/>
      <c r="B128" s="26"/>
      <c r="C128" s="26"/>
      <c r="D128" s="26"/>
      <c r="E128" s="26"/>
      <c r="F128" s="13"/>
      <c r="G128" s="13"/>
      <c r="H128" s="13"/>
      <c r="I128" s="13"/>
      <c r="J128" s="13"/>
      <c r="K128" s="13"/>
      <c r="L128" s="13"/>
      <c r="M128" s="13"/>
      <c r="N128" s="13"/>
      <c r="O128" s="13"/>
      <c r="P128" s="13"/>
      <c r="Q128" s="13"/>
      <c r="R128" s="13"/>
      <c r="S128" s="13"/>
      <c r="T128" s="13"/>
    </row>
    <row r="129" spans="1:20">
      <c r="A129" s="26"/>
      <c r="B129" s="26"/>
      <c r="C129" s="26"/>
      <c r="D129" s="26"/>
      <c r="E129" s="26"/>
      <c r="F129" s="13"/>
      <c r="G129" s="13"/>
      <c r="H129" s="13"/>
      <c r="I129" s="13"/>
      <c r="J129" s="13"/>
      <c r="K129" s="13"/>
      <c r="L129" s="13"/>
      <c r="M129" s="13"/>
      <c r="N129" s="13"/>
      <c r="O129" s="13"/>
      <c r="P129" s="13"/>
      <c r="Q129" s="13"/>
      <c r="R129" s="13"/>
      <c r="S129" s="13"/>
      <c r="T129" s="13"/>
    </row>
    <row r="130" spans="1:20">
      <c r="A130" s="26"/>
      <c r="B130" s="26"/>
      <c r="C130" s="26"/>
      <c r="D130" s="26"/>
      <c r="E130" s="26"/>
      <c r="F130" s="13"/>
      <c r="G130" s="13"/>
      <c r="H130" s="13"/>
      <c r="I130" s="13"/>
      <c r="J130" s="13"/>
      <c r="K130" s="13"/>
      <c r="L130" s="13"/>
      <c r="M130" s="13"/>
      <c r="N130" s="13"/>
      <c r="O130" s="13"/>
      <c r="P130" s="13"/>
      <c r="Q130" s="13"/>
      <c r="R130" s="13"/>
      <c r="S130" s="13"/>
      <c r="T130" s="13"/>
    </row>
    <row r="131" spans="1:20">
      <c r="A131" s="26"/>
      <c r="B131" s="26"/>
      <c r="C131" s="26"/>
      <c r="D131" s="26"/>
      <c r="E131" s="26"/>
      <c r="F131" s="13"/>
      <c r="G131" s="13"/>
      <c r="H131" s="13"/>
      <c r="I131" s="13"/>
      <c r="J131" s="13"/>
      <c r="K131" s="13"/>
      <c r="L131" s="13"/>
      <c r="M131" s="13"/>
      <c r="N131" s="13"/>
      <c r="O131" s="13"/>
      <c r="P131" s="13"/>
      <c r="Q131" s="13"/>
      <c r="R131" s="13"/>
      <c r="S131" s="13"/>
      <c r="T131" s="13"/>
    </row>
    <row r="132" spans="1:20">
      <c r="A132" s="26"/>
      <c r="B132" s="26"/>
      <c r="C132" s="26"/>
      <c r="D132" s="26"/>
      <c r="E132" s="26"/>
      <c r="F132" s="13"/>
      <c r="G132" s="13"/>
      <c r="H132" s="13"/>
      <c r="I132" s="13"/>
      <c r="J132" s="13"/>
      <c r="K132" s="13"/>
      <c r="L132" s="13"/>
      <c r="M132" s="13"/>
      <c r="N132" s="13"/>
      <c r="O132" s="13"/>
      <c r="P132" s="13"/>
      <c r="Q132" s="13"/>
      <c r="R132" s="13"/>
      <c r="S132" s="13"/>
      <c r="T132" s="13"/>
    </row>
    <row r="133" spans="1:20">
      <c r="A133" s="26"/>
      <c r="B133" s="26"/>
      <c r="C133" s="26"/>
      <c r="D133" s="26"/>
      <c r="E133" s="26"/>
      <c r="F133" s="13"/>
      <c r="G133" s="13"/>
      <c r="H133" s="13"/>
      <c r="I133" s="13"/>
      <c r="J133" s="13"/>
      <c r="K133" s="13"/>
      <c r="L133" s="13"/>
      <c r="M133" s="13"/>
      <c r="N133" s="13"/>
      <c r="O133" s="13"/>
      <c r="P133" s="13"/>
      <c r="Q133" s="13"/>
      <c r="R133" s="13"/>
      <c r="S133" s="13"/>
      <c r="T133" s="13"/>
    </row>
    <row r="134" spans="1:20">
      <c r="A134" s="26"/>
      <c r="B134" s="26"/>
      <c r="C134" s="26"/>
      <c r="D134" s="26"/>
      <c r="E134" s="26"/>
      <c r="F134" s="13"/>
      <c r="G134" s="13"/>
      <c r="H134" s="13"/>
      <c r="I134" s="13"/>
      <c r="J134" s="13"/>
      <c r="K134" s="13"/>
      <c r="L134" s="13"/>
      <c r="M134" s="13"/>
      <c r="N134" s="13"/>
      <c r="O134" s="13"/>
      <c r="P134" s="13"/>
      <c r="Q134" s="13"/>
      <c r="R134" s="13"/>
      <c r="S134" s="13"/>
      <c r="T134" s="13"/>
    </row>
    <row r="135" spans="1:20">
      <c r="A135" s="26"/>
      <c r="B135" s="26"/>
      <c r="C135" s="26"/>
      <c r="D135" s="26"/>
      <c r="E135" s="26"/>
      <c r="F135" s="13"/>
      <c r="G135" s="13"/>
      <c r="H135" s="13"/>
      <c r="I135" s="13"/>
      <c r="J135" s="13"/>
      <c r="K135" s="13"/>
      <c r="L135" s="13"/>
      <c r="M135" s="13"/>
      <c r="N135" s="13"/>
      <c r="O135" s="13"/>
      <c r="P135" s="13"/>
      <c r="Q135" s="13"/>
      <c r="R135" s="13"/>
      <c r="S135" s="13"/>
      <c r="T135" s="13"/>
    </row>
    <row r="136" spans="1:20">
      <c r="A136" s="26"/>
      <c r="B136" s="26"/>
      <c r="C136" s="26"/>
      <c r="D136" s="26"/>
      <c r="E136" s="26"/>
      <c r="F136" s="13"/>
      <c r="G136" s="13"/>
      <c r="H136" s="13"/>
      <c r="I136" s="13"/>
      <c r="J136" s="13"/>
      <c r="K136" s="13"/>
      <c r="L136" s="13"/>
      <c r="M136" s="13"/>
      <c r="N136" s="13"/>
      <c r="O136" s="13"/>
      <c r="P136" s="13"/>
      <c r="Q136" s="13"/>
      <c r="R136" s="13"/>
      <c r="S136" s="13"/>
      <c r="T136" s="13"/>
    </row>
    <row r="137" spans="1:20">
      <c r="A137" s="26"/>
      <c r="B137" s="26"/>
      <c r="C137" s="26"/>
      <c r="D137" s="26"/>
      <c r="E137" s="26"/>
      <c r="F137" s="13"/>
      <c r="G137" s="13"/>
      <c r="H137" s="13"/>
      <c r="I137" s="13"/>
      <c r="J137" s="13"/>
      <c r="K137" s="13"/>
      <c r="L137" s="13"/>
      <c r="M137" s="13"/>
      <c r="N137" s="13"/>
      <c r="O137" s="13"/>
      <c r="P137" s="13"/>
      <c r="Q137" s="13"/>
      <c r="R137" s="13"/>
      <c r="S137" s="13"/>
      <c r="T137" s="13"/>
    </row>
    <row r="138" spans="1:20">
      <c r="A138" s="26"/>
      <c r="B138" s="26"/>
      <c r="C138" s="26"/>
      <c r="D138" s="26"/>
      <c r="E138" s="26"/>
      <c r="F138" s="13"/>
      <c r="G138" s="13"/>
      <c r="H138" s="13"/>
      <c r="I138" s="13"/>
      <c r="J138" s="13"/>
      <c r="K138" s="13"/>
      <c r="L138" s="13"/>
      <c r="M138" s="13"/>
      <c r="N138" s="13"/>
      <c r="O138" s="13"/>
      <c r="P138" s="13"/>
      <c r="Q138" s="13"/>
      <c r="R138" s="13"/>
      <c r="S138" s="13"/>
      <c r="T138" s="13"/>
    </row>
    <row r="139" spans="1:20">
      <c r="A139" s="26"/>
      <c r="B139" s="26"/>
      <c r="C139" s="26"/>
      <c r="D139" s="26"/>
      <c r="E139" s="26"/>
      <c r="F139" s="13"/>
      <c r="G139" s="13"/>
      <c r="H139" s="13"/>
      <c r="I139" s="13"/>
      <c r="J139" s="13"/>
      <c r="K139" s="13"/>
      <c r="L139" s="13"/>
      <c r="M139" s="13"/>
      <c r="N139" s="13"/>
      <c r="O139" s="13"/>
      <c r="P139" s="13"/>
      <c r="Q139" s="13"/>
      <c r="R139" s="13"/>
      <c r="S139" s="13"/>
      <c r="T139" s="13"/>
    </row>
    <row r="140" spans="1:20">
      <c r="A140" s="26"/>
      <c r="B140" s="26"/>
      <c r="C140" s="26"/>
      <c r="D140" s="26"/>
      <c r="E140" s="26"/>
      <c r="F140" s="13"/>
      <c r="G140" s="13"/>
      <c r="H140" s="13"/>
      <c r="I140" s="13"/>
      <c r="J140" s="13"/>
      <c r="K140" s="13"/>
      <c r="L140" s="13"/>
      <c r="M140" s="13"/>
      <c r="N140" s="13"/>
      <c r="O140" s="13"/>
      <c r="P140" s="13"/>
      <c r="Q140" s="13"/>
      <c r="R140" s="13"/>
      <c r="S140" s="13"/>
      <c r="T140" s="13"/>
    </row>
    <row r="141" spans="1:20">
      <c r="A141" s="26"/>
      <c r="B141" s="26"/>
      <c r="C141" s="26"/>
      <c r="D141" s="26"/>
      <c r="E141" s="26"/>
      <c r="F141" s="13"/>
      <c r="G141" s="13"/>
      <c r="H141" s="13"/>
      <c r="I141" s="13"/>
      <c r="J141" s="13"/>
      <c r="K141" s="13"/>
      <c r="L141" s="13"/>
      <c r="M141" s="13"/>
      <c r="N141" s="13"/>
      <c r="O141" s="13"/>
      <c r="P141" s="13"/>
      <c r="Q141" s="13"/>
      <c r="R141" s="13"/>
      <c r="S141" s="13"/>
      <c r="T141" s="13"/>
    </row>
    <row r="142" spans="1:20">
      <c r="A142" s="26"/>
      <c r="B142" s="26"/>
      <c r="C142" s="26"/>
      <c r="D142" s="26"/>
      <c r="E142" s="26"/>
      <c r="F142" s="13"/>
      <c r="G142" s="13"/>
      <c r="H142" s="13"/>
      <c r="I142" s="13"/>
      <c r="J142" s="13"/>
      <c r="K142" s="13"/>
      <c r="L142" s="13"/>
      <c r="M142" s="13"/>
      <c r="N142" s="13"/>
      <c r="O142" s="13"/>
      <c r="P142" s="13"/>
      <c r="Q142" s="13"/>
      <c r="R142" s="13"/>
      <c r="S142" s="13"/>
      <c r="T142" s="13"/>
    </row>
    <row r="143" spans="1:20">
      <c r="A143" s="26"/>
      <c r="B143" s="26"/>
      <c r="C143" s="26"/>
      <c r="D143" s="26"/>
      <c r="E143" s="26"/>
      <c r="F143" s="13"/>
      <c r="G143" s="13"/>
      <c r="H143" s="13"/>
      <c r="I143" s="13"/>
      <c r="J143" s="13"/>
      <c r="K143" s="13"/>
      <c r="L143" s="13"/>
      <c r="M143" s="13"/>
      <c r="N143" s="13"/>
      <c r="O143" s="13"/>
      <c r="P143" s="13"/>
      <c r="Q143" s="13"/>
      <c r="R143" s="13"/>
      <c r="S143" s="13"/>
      <c r="T143" s="13"/>
    </row>
    <row r="144" spans="1:20">
      <c r="A144" s="26"/>
      <c r="B144" s="26"/>
      <c r="C144" s="26"/>
      <c r="D144" s="26"/>
      <c r="E144" s="26"/>
      <c r="F144" s="13"/>
      <c r="G144" s="13"/>
      <c r="H144" s="13"/>
      <c r="I144" s="13"/>
      <c r="J144" s="13"/>
      <c r="K144" s="13"/>
      <c r="L144" s="13"/>
      <c r="M144" s="13"/>
      <c r="N144" s="13"/>
      <c r="O144" s="13"/>
      <c r="P144" s="13"/>
      <c r="Q144" s="13"/>
      <c r="R144" s="13"/>
      <c r="S144" s="13"/>
      <c r="T144" s="13"/>
    </row>
    <row r="145" spans="1:20">
      <c r="A145" s="26"/>
      <c r="B145" s="26"/>
      <c r="C145" s="26"/>
      <c r="D145" s="26"/>
      <c r="E145" s="26"/>
      <c r="F145" s="13"/>
      <c r="G145" s="13"/>
      <c r="H145" s="13"/>
      <c r="I145" s="13"/>
      <c r="J145" s="13"/>
      <c r="K145" s="13"/>
      <c r="L145" s="13"/>
      <c r="M145" s="13"/>
      <c r="N145" s="13"/>
      <c r="O145" s="13"/>
      <c r="P145" s="13"/>
      <c r="Q145" s="13"/>
      <c r="R145" s="13"/>
      <c r="S145" s="13"/>
      <c r="T145" s="13"/>
    </row>
    <row r="146" spans="1:20">
      <c r="A146" s="26"/>
      <c r="B146" s="26"/>
      <c r="C146" s="26"/>
      <c r="D146" s="26"/>
      <c r="E146" s="26"/>
      <c r="F146" s="13"/>
      <c r="G146" s="13"/>
      <c r="H146" s="13"/>
      <c r="I146" s="13"/>
      <c r="J146" s="13"/>
      <c r="K146" s="13"/>
      <c r="L146" s="13"/>
      <c r="M146" s="13"/>
      <c r="N146" s="13"/>
      <c r="O146" s="13"/>
      <c r="P146" s="13"/>
      <c r="Q146" s="13"/>
      <c r="R146" s="13"/>
      <c r="S146" s="13"/>
      <c r="T146" s="13"/>
    </row>
    <row r="147" spans="1:20">
      <c r="A147" s="26"/>
      <c r="B147" s="26"/>
      <c r="C147" s="26"/>
      <c r="D147" s="26"/>
      <c r="E147" s="26"/>
      <c r="F147" s="13"/>
      <c r="G147" s="13"/>
      <c r="H147" s="13"/>
      <c r="I147" s="13"/>
      <c r="J147" s="13"/>
      <c r="K147" s="13"/>
      <c r="L147" s="13"/>
      <c r="M147" s="13"/>
      <c r="N147" s="13"/>
      <c r="O147" s="13"/>
      <c r="P147" s="13"/>
      <c r="Q147" s="13"/>
      <c r="R147" s="13"/>
      <c r="S147" s="13"/>
      <c r="T147" s="13"/>
    </row>
    <row r="148" spans="1:20">
      <c r="A148" s="26"/>
      <c r="B148" s="26"/>
      <c r="C148" s="26"/>
      <c r="D148" s="26"/>
      <c r="E148" s="26"/>
      <c r="F148" s="13"/>
      <c r="G148" s="13"/>
      <c r="H148" s="13"/>
      <c r="I148" s="13"/>
      <c r="J148" s="13"/>
      <c r="K148" s="13"/>
      <c r="L148" s="13"/>
      <c r="M148" s="13"/>
      <c r="N148" s="13"/>
      <c r="O148" s="13"/>
      <c r="P148" s="13"/>
      <c r="Q148" s="13"/>
      <c r="R148" s="13"/>
      <c r="S148" s="13"/>
      <c r="T148" s="13"/>
    </row>
    <row r="149" spans="1:20">
      <c r="A149" s="26"/>
      <c r="B149" s="26"/>
      <c r="C149" s="26"/>
      <c r="D149" s="26"/>
      <c r="E149" s="26"/>
      <c r="F149" s="13"/>
      <c r="G149" s="13"/>
      <c r="H149" s="13"/>
      <c r="I149" s="13"/>
      <c r="J149" s="13"/>
      <c r="K149" s="13"/>
      <c r="L149" s="13"/>
      <c r="M149" s="13"/>
      <c r="N149" s="13"/>
      <c r="O149" s="13"/>
      <c r="P149" s="13"/>
      <c r="Q149" s="13"/>
      <c r="R149" s="13"/>
      <c r="S149" s="13"/>
      <c r="T149" s="13"/>
    </row>
    <row r="150" spans="1:20">
      <c r="A150" s="26"/>
      <c r="B150" s="26"/>
      <c r="C150" s="26"/>
      <c r="D150" s="26"/>
      <c r="E150" s="26"/>
      <c r="F150" s="13"/>
      <c r="G150" s="13"/>
      <c r="H150" s="13"/>
      <c r="I150" s="13"/>
      <c r="J150" s="13"/>
      <c r="K150" s="13"/>
      <c r="L150" s="13"/>
      <c r="M150" s="13"/>
      <c r="N150" s="13"/>
      <c r="O150" s="13"/>
      <c r="P150" s="13"/>
      <c r="Q150" s="13"/>
      <c r="R150" s="13"/>
      <c r="S150" s="13"/>
      <c r="T150" s="13"/>
    </row>
    <row r="151" spans="1:20">
      <c r="A151" s="26"/>
      <c r="B151" s="26"/>
      <c r="C151" s="26"/>
      <c r="D151" s="26"/>
      <c r="E151" s="26"/>
      <c r="F151" s="13"/>
      <c r="G151" s="13"/>
      <c r="H151" s="13"/>
      <c r="I151" s="13"/>
      <c r="J151" s="13"/>
      <c r="K151" s="13"/>
      <c r="L151" s="13"/>
      <c r="M151" s="13"/>
      <c r="N151" s="13"/>
      <c r="O151" s="13"/>
      <c r="P151" s="13"/>
      <c r="Q151" s="13"/>
      <c r="R151" s="13"/>
      <c r="S151" s="13"/>
      <c r="T151" s="13"/>
    </row>
    <row r="152" spans="1:20">
      <c r="A152" s="26"/>
      <c r="B152" s="26"/>
      <c r="C152" s="26"/>
      <c r="D152" s="26"/>
      <c r="E152" s="26"/>
      <c r="F152" s="13"/>
      <c r="G152" s="13"/>
      <c r="H152" s="13"/>
      <c r="I152" s="13"/>
      <c r="J152" s="13"/>
      <c r="K152" s="13"/>
      <c r="L152" s="13"/>
      <c r="M152" s="13"/>
      <c r="N152" s="13"/>
      <c r="O152" s="13"/>
      <c r="P152" s="13"/>
      <c r="Q152" s="13"/>
      <c r="R152" s="13"/>
      <c r="S152" s="13"/>
      <c r="T152" s="13"/>
    </row>
    <row r="153" spans="1:20">
      <c r="A153" s="26"/>
      <c r="B153" s="26"/>
      <c r="C153" s="26"/>
      <c r="D153" s="26"/>
      <c r="E153" s="26"/>
      <c r="F153" s="13"/>
      <c r="G153" s="13"/>
      <c r="H153" s="13"/>
      <c r="I153" s="13"/>
      <c r="J153" s="13"/>
      <c r="K153" s="13"/>
      <c r="L153" s="13"/>
      <c r="M153" s="13"/>
      <c r="N153" s="13"/>
      <c r="O153" s="13"/>
      <c r="P153" s="13"/>
      <c r="Q153" s="13"/>
      <c r="R153" s="13"/>
      <c r="S153" s="13"/>
      <c r="T153" s="13"/>
    </row>
    <row r="154" spans="1:20">
      <c r="A154" s="26"/>
      <c r="B154" s="26"/>
      <c r="C154" s="26"/>
      <c r="D154" s="26"/>
      <c r="E154" s="26"/>
      <c r="F154" s="13"/>
      <c r="G154" s="13"/>
      <c r="H154" s="13"/>
      <c r="I154" s="13"/>
      <c r="J154" s="13"/>
      <c r="K154" s="13"/>
      <c r="L154" s="13"/>
      <c r="M154" s="13"/>
      <c r="N154" s="13"/>
      <c r="O154" s="13"/>
      <c r="P154" s="13"/>
      <c r="Q154" s="13"/>
      <c r="R154" s="13"/>
      <c r="S154" s="13"/>
      <c r="T154" s="13"/>
    </row>
    <row r="155" spans="1:20">
      <c r="A155" s="26"/>
      <c r="B155" s="26"/>
      <c r="C155" s="26"/>
      <c r="D155" s="26"/>
      <c r="E155" s="26"/>
      <c r="F155" s="13"/>
      <c r="G155" s="13"/>
      <c r="H155" s="13"/>
      <c r="I155" s="13"/>
      <c r="J155" s="13"/>
      <c r="K155" s="13"/>
      <c r="L155" s="13"/>
      <c r="M155" s="13"/>
      <c r="N155" s="13"/>
      <c r="O155" s="13"/>
      <c r="P155" s="13"/>
      <c r="Q155" s="13"/>
      <c r="R155" s="13"/>
      <c r="S155" s="13"/>
      <c r="T155" s="13"/>
    </row>
    <row r="156" spans="1:20">
      <c r="A156" s="26"/>
      <c r="B156" s="26"/>
      <c r="C156" s="26"/>
      <c r="D156" s="26"/>
      <c r="E156" s="26"/>
      <c r="F156" s="13"/>
      <c r="G156" s="13"/>
      <c r="H156" s="13"/>
      <c r="I156" s="13"/>
      <c r="J156" s="13"/>
      <c r="K156" s="13"/>
      <c r="L156" s="13"/>
      <c r="M156" s="13"/>
      <c r="N156" s="13"/>
      <c r="O156" s="13"/>
      <c r="P156" s="13"/>
      <c r="Q156" s="13"/>
      <c r="R156" s="13"/>
      <c r="S156" s="13"/>
      <c r="T156" s="13"/>
    </row>
    <row r="157" spans="1:20">
      <c r="A157" s="26"/>
      <c r="B157" s="26"/>
      <c r="C157" s="26"/>
      <c r="D157" s="26"/>
      <c r="E157" s="26"/>
      <c r="F157" s="13"/>
      <c r="G157" s="13"/>
      <c r="H157" s="13"/>
      <c r="I157" s="13"/>
      <c r="J157" s="13"/>
      <c r="K157" s="13"/>
      <c r="L157" s="13"/>
      <c r="M157" s="13"/>
      <c r="N157" s="13"/>
      <c r="O157" s="13"/>
      <c r="P157" s="13"/>
      <c r="Q157" s="13"/>
      <c r="R157" s="13"/>
      <c r="S157" s="13"/>
      <c r="T157" s="13"/>
    </row>
    <row r="158" spans="1:20">
      <c r="A158" s="26"/>
      <c r="B158" s="26"/>
      <c r="C158" s="26"/>
      <c r="D158" s="26"/>
      <c r="E158" s="26"/>
      <c r="F158" s="13"/>
      <c r="G158" s="13"/>
      <c r="H158" s="13"/>
      <c r="I158" s="13"/>
      <c r="J158" s="13"/>
      <c r="K158" s="13"/>
      <c r="L158" s="13"/>
      <c r="M158" s="13"/>
      <c r="N158" s="13"/>
      <c r="O158" s="13"/>
      <c r="P158" s="13"/>
      <c r="Q158" s="13"/>
      <c r="R158" s="13"/>
      <c r="S158" s="13"/>
      <c r="T158" s="13"/>
    </row>
    <row r="159" spans="1:20">
      <c r="A159" s="26"/>
      <c r="B159" s="26"/>
      <c r="C159" s="26"/>
      <c r="D159" s="26"/>
      <c r="E159" s="26"/>
      <c r="F159" s="13"/>
      <c r="G159" s="13"/>
      <c r="H159" s="13"/>
      <c r="I159" s="13"/>
      <c r="J159" s="13"/>
      <c r="K159" s="13"/>
      <c r="L159" s="13"/>
      <c r="M159" s="13"/>
      <c r="N159" s="13"/>
      <c r="O159" s="13"/>
      <c r="P159" s="13"/>
      <c r="Q159" s="13"/>
      <c r="R159" s="13"/>
      <c r="S159" s="13"/>
      <c r="T159" s="13"/>
    </row>
    <row r="160" spans="1:20">
      <c r="A160" s="26"/>
      <c r="B160" s="26"/>
      <c r="C160" s="26"/>
      <c r="D160" s="26"/>
      <c r="E160" s="26"/>
      <c r="F160" s="13"/>
      <c r="G160" s="13"/>
      <c r="H160" s="13"/>
      <c r="I160" s="13"/>
      <c r="J160" s="13"/>
      <c r="K160" s="13"/>
      <c r="L160" s="13"/>
      <c r="M160" s="13"/>
      <c r="N160" s="13"/>
      <c r="O160" s="13"/>
      <c r="P160" s="13"/>
      <c r="Q160" s="13"/>
      <c r="R160" s="13"/>
      <c r="S160" s="13"/>
      <c r="T160" s="13"/>
    </row>
    <row r="161" spans="1:20">
      <c r="A161" s="26"/>
      <c r="B161" s="26"/>
      <c r="C161" s="26"/>
      <c r="D161" s="26"/>
      <c r="E161" s="26"/>
      <c r="F161" s="13"/>
      <c r="G161" s="13"/>
      <c r="H161" s="13"/>
      <c r="I161" s="13"/>
      <c r="J161" s="13"/>
      <c r="K161" s="13"/>
      <c r="L161" s="13"/>
      <c r="M161" s="13"/>
      <c r="N161" s="13"/>
      <c r="O161" s="13"/>
      <c r="P161" s="13"/>
      <c r="Q161" s="13"/>
      <c r="R161" s="13"/>
      <c r="S161" s="13"/>
      <c r="T161" s="13"/>
    </row>
    <row r="162" spans="1:20">
      <c r="A162" s="26"/>
      <c r="B162" s="26"/>
      <c r="C162" s="26"/>
      <c r="D162" s="26"/>
      <c r="E162" s="26"/>
      <c r="F162" s="13"/>
      <c r="G162" s="13"/>
      <c r="H162" s="13"/>
      <c r="I162" s="13"/>
      <c r="J162" s="13"/>
      <c r="K162" s="13"/>
      <c r="L162" s="13"/>
      <c r="M162" s="13"/>
      <c r="N162" s="13"/>
      <c r="O162" s="13"/>
      <c r="P162" s="13"/>
      <c r="Q162" s="13"/>
      <c r="R162" s="13"/>
      <c r="S162" s="13"/>
      <c r="T162" s="13"/>
    </row>
    <row r="163" spans="1:20">
      <c r="A163" s="26"/>
      <c r="B163" s="26"/>
      <c r="C163" s="26"/>
      <c r="D163" s="26"/>
      <c r="E163" s="26"/>
      <c r="F163" s="13"/>
      <c r="G163" s="13"/>
      <c r="H163" s="13"/>
      <c r="I163" s="13"/>
      <c r="J163" s="13"/>
      <c r="K163" s="13"/>
      <c r="L163" s="13"/>
      <c r="M163" s="13"/>
      <c r="N163" s="13"/>
      <c r="O163" s="13"/>
      <c r="P163" s="13"/>
      <c r="Q163" s="13"/>
      <c r="R163" s="13"/>
      <c r="S163" s="13"/>
      <c r="T163" s="13"/>
    </row>
    <row r="164" spans="1:20">
      <c r="A164" s="26"/>
      <c r="B164" s="26"/>
      <c r="C164" s="26"/>
      <c r="D164" s="26"/>
      <c r="E164" s="26"/>
      <c r="F164" s="13"/>
      <c r="G164" s="13"/>
      <c r="H164" s="13"/>
      <c r="I164" s="13"/>
      <c r="J164" s="13"/>
      <c r="K164" s="13"/>
      <c r="L164" s="13"/>
      <c r="M164" s="13"/>
      <c r="N164" s="13"/>
      <c r="O164" s="13"/>
      <c r="P164" s="13"/>
      <c r="Q164" s="13"/>
      <c r="R164" s="13"/>
      <c r="S164" s="13"/>
      <c r="T164" s="13"/>
    </row>
    <row r="165" spans="1:20">
      <c r="A165" s="26"/>
      <c r="B165" s="26"/>
      <c r="C165" s="26"/>
      <c r="D165" s="26"/>
      <c r="E165" s="26"/>
      <c r="F165" s="13"/>
      <c r="G165" s="13"/>
      <c r="H165" s="13"/>
      <c r="I165" s="13"/>
      <c r="J165" s="13"/>
      <c r="K165" s="13"/>
      <c r="L165" s="13"/>
      <c r="M165" s="13"/>
      <c r="N165" s="13"/>
      <c r="O165" s="13"/>
      <c r="P165" s="13"/>
      <c r="Q165" s="13"/>
      <c r="R165" s="13"/>
      <c r="S165" s="13"/>
      <c r="T165" s="13"/>
    </row>
    <row r="166" spans="1:20">
      <c r="A166" s="26"/>
      <c r="B166" s="26"/>
      <c r="C166" s="26"/>
      <c r="D166" s="26"/>
      <c r="E166" s="26"/>
      <c r="F166" s="13"/>
      <c r="G166" s="13"/>
      <c r="H166" s="13"/>
      <c r="I166" s="13"/>
      <c r="J166" s="13"/>
      <c r="K166" s="13"/>
      <c r="L166" s="13"/>
      <c r="M166" s="13"/>
      <c r="N166" s="13"/>
      <c r="O166" s="13"/>
      <c r="P166" s="13"/>
      <c r="Q166" s="13"/>
      <c r="R166" s="13"/>
      <c r="S166" s="13"/>
      <c r="T166" s="13"/>
    </row>
    <row r="167" spans="1:20">
      <c r="A167" s="26"/>
      <c r="B167" s="26"/>
      <c r="C167" s="26"/>
      <c r="D167" s="26"/>
      <c r="E167" s="26"/>
      <c r="F167" s="13"/>
      <c r="G167" s="13"/>
      <c r="H167" s="13"/>
      <c r="I167" s="13"/>
      <c r="J167" s="13"/>
      <c r="K167" s="13"/>
      <c r="L167" s="13"/>
      <c r="M167" s="13"/>
      <c r="N167" s="13"/>
      <c r="O167" s="13"/>
      <c r="P167" s="13"/>
      <c r="Q167" s="13"/>
      <c r="R167" s="13"/>
      <c r="S167" s="13"/>
      <c r="T167" s="13"/>
    </row>
    <row r="168" spans="1:20">
      <c r="A168" s="26"/>
      <c r="B168" s="26"/>
      <c r="C168" s="26"/>
      <c r="D168" s="26"/>
      <c r="E168" s="26"/>
      <c r="F168" s="13"/>
      <c r="G168" s="13"/>
      <c r="H168" s="13"/>
      <c r="I168" s="13"/>
      <c r="J168" s="13"/>
      <c r="K168" s="13"/>
      <c r="L168" s="13"/>
      <c r="M168" s="13"/>
      <c r="N168" s="13"/>
      <c r="O168" s="13"/>
      <c r="P168" s="13"/>
      <c r="Q168" s="13"/>
      <c r="R168" s="13"/>
      <c r="S168" s="13"/>
      <c r="T168" s="13"/>
    </row>
    <row r="169" spans="1:20">
      <c r="A169" s="26"/>
      <c r="B169" s="26"/>
      <c r="C169" s="26"/>
      <c r="D169" s="26"/>
      <c r="E169" s="26"/>
      <c r="F169" s="13"/>
      <c r="G169" s="13"/>
      <c r="H169" s="13"/>
      <c r="I169" s="13"/>
      <c r="J169" s="13"/>
      <c r="K169" s="13"/>
      <c r="L169" s="13"/>
      <c r="M169" s="13"/>
      <c r="N169" s="13"/>
      <c r="O169" s="13"/>
      <c r="P169" s="13"/>
      <c r="Q169" s="13"/>
      <c r="R169" s="13"/>
      <c r="S169" s="13"/>
      <c r="T169" s="13"/>
    </row>
    <row r="170" spans="1:20">
      <c r="A170" s="26"/>
      <c r="B170" s="26"/>
      <c r="C170" s="26"/>
      <c r="D170" s="26"/>
      <c r="E170" s="26"/>
      <c r="F170" s="13"/>
      <c r="G170" s="13"/>
      <c r="H170" s="13"/>
      <c r="I170" s="13"/>
      <c r="J170" s="13"/>
      <c r="K170" s="13"/>
      <c r="L170" s="13"/>
      <c r="M170" s="13"/>
      <c r="N170" s="13"/>
      <c r="O170" s="13"/>
      <c r="P170" s="13"/>
      <c r="Q170" s="13"/>
      <c r="R170" s="13"/>
      <c r="S170" s="13"/>
      <c r="T170" s="13"/>
    </row>
    <row r="171" spans="1:20">
      <c r="A171" s="26"/>
      <c r="B171" s="26"/>
      <c r="C171" s="26"/>
      <c r="D171" s="26"/>
      <c r="E171" s="26"/>
      <c r="F171" s="13"/>
      <c r="G171" s="13"/>
      <c r="H171" s="13"/>
      <c r="I171" s="13"/>
      <c r="J171" s="13"/>
      <c r="K171" s="13"/>
      <c r="L171" s="13"/>
      <c r="M171" s="13"/>
      <c r="N171" s="13"/>
      <c r="O171" s="13"/>
      <c r="P171" s="13"/>
      <c r="Q171" s="13"/>
      <c r="R171" s="13"/>
      <c r="S171" s="13"/>
      <c r="T171" s="13"/>
    </row>
    <row r="172" spans="1:20">
      <c r="A172" s="26"/>
      <c r="B172" s="26"/>
      <c r="C172" s="26"/>
      <c r="D172" s="26"/>
      <c r="E172" s="26"/>
      <c r="F172" s="13"/>
      <c r="G172" s="13"/>
      <c r="H172" s="13"/>
      <c r="I172" s="13"/>
      <c r="J172" s="13"/>
      <c r="K172" s="13"/>
      <c r="L172" s="13"/>
      <c r="M172" s="13"/>
      <c r="N172" s="13"/>
      <c r="O172" s="13"/>
      <c r="P172" s="13"/>
      <c r="Q172" s="13"/>
      <c r="R172" s="13"/>
      <c r="S172" s="13"/>
      <c r="T172" s="13"/>
    </row>
    <row r="173" spans="1:20">
      <c r="A173" s="26"/>
      <c r="B173" s="26"/>
      <c r="C173" s="26"/>
      <c r="D173" s="26"/>
      <c r="E173" s="26"/>
      <c r="F173" s="13"/>
      <c r="G173" s="13"/>
      <c r="H173" s="13"/>
      <c r="I173" s="13"/>
      <c r="J173" s="13"/>
      <c r="K173" s="13"/>
      <c r="L173" s="13"/>
      <c r="M173" s="13"/>
      <c r="N173" s="13"/>
      <c r="O173" s="13"/>
      <c r="P173" s="13"/>
      <c r="Q173" s="13"/>
      <c r="R173" s="13"/>
      <c r="S173" s="13"/>
      <c r="T173" s="13"/>
    </row>
    <row r="174" spans="1:20">
      <c r="A174" s="26"/>
      <c r="B174" s="26"/>
      <c r="C174" s="26"/>
      <c r="D174" s="26"/>
      <c r="E174" s="26"/>
      <c r="F174" s="13"/>
      <c r="G174" s="13"/>
      <c r="H174" s="13"/>
      <c r="I174" s="13"/>
      <c r="J174" s="13"/>
      <c r="K174" s="13"/>
      <c r="L174" s="13"/>
      <c r="M174" s="13"/>
      <c r="N174" s="13"/>
      <c r="O174" s="13"/>
      <c r="P174" s="13"/>
      <c r="Q174" s="13"/>
      <c r="R174" s="13"/>
      <c r="S174" s="13"/>
      <c r="T174" s="13"/>
    </row>
    <row r="175" spans="1:20">
      <c r="A175" s="26"/>
      <c r="B175" s="26"/>
      <c r="C175" s="26"/>
      <c r="D175" s="26"/>
      <c r="E175" s="26"/>
      <c r="F175" s="13"/>
      <c r="G175" s="13"/>
      <c r="H175" s="13"/>
      <c r="I175" s="13"/>
      <c r="J175" s="13"/>
      <c r="K175" s="13"/>
      <c r="L175" s="13"/>
      <c r="M175" s="13"/>
      <c r="N175" s="13"/>
      <c r="O175" s="13"/>
      <c r="P175" s="13"/>
      <c r="Q175" s="13"/>
      <c r="R175" s="13"/>
      <c r="S175" s="13"/>
      <c r="T175" s="13"/>
    </row>
    <row r="176" spans="1:20">
      <c r="A176" s="26"/>
      <c r="B176" s="26"/>
      <c r="C176" s="26"/>
      <c r="D176" s="26"/>
      <c r="E176" s="26"/>
      <c r="F176" s="13"/>
      <c r="G176" s="13"/>
      <c r="H176" s="13"/>
      <c r="I176" s="13"/>
      <c r="J176" s="13"/>
      <c r="K176" s="13"/>
      <c r="L176" s="13"/>
      <c r="M176" s="13"/>
      <c r="N176" s="13"/>
      <c r="O176" s="13"/>
      <c r="P176" s="13"/>
      <c r="Q176" s="13"/>
      <c r="R176" s="13"/>
      <c r="S176" s="13"/>
      <c r="T176" s="13"/>
    </row>
    <row r="177" spans="1:20">
      <c r="A177" s="26"/>
      <c r="B177" s="26"/>
      <c r="C177" s="26"/>
      <c r="D177" s="26"/>
      <c r="E177" s="26"/>
      <c r="F177" s="13"/>
      <c r="G177" s="13"/>
      <c r="H177" s="13"/>
      <c r="I177" s="13"/>
      <c r="J177" s="13"/>
      <c r="K177" s="13"/>
      <c r="L177" s="13"/>
      <c r="M177" s="13"/>
      <c r="N177" s="13"/>
      <c r="O177" s="13"/>
      <c r="P177" s="13"/>
      <c r="Q177" s="13"/>
      <c r="R177" s="13"/>
      <c r="S177" s="13"/>
      <c r="T177" s="13"/>
    </row>
    <row r="178" spans="1:20">
      <c r="A178" s="26"/>
      <c r="B178" s="26"/>
      <c r="C178" s="26"/>
      <c r="D178" s="26"/>
      <c r="E178" s="26"/>
      <c r="F178" s="13"/>
      <c r="G178" s="13"/>
      <c r="H178" s="13"/>
      <c r="I178" s="13"/>
      <c r="J178" s="13"/>
      <c r="K178" s="13"/>
      <c r="L178" s="13"/>
      <c r="M178" s="13"/>
      <c r="N178" s="13"/>
      <c r="O178" s="13"/>
      <c r="P178" s="13"/>
      <c r="Q178" s="13"/>
      <c r="R178" s="13"/>
      <c r="S178" s="13"/>
      <c r="T178" s="13"/>
    </row>
    <row r="179" spans="1:20">
      <c r="A179" s="26"/>
      <c r="B179" s="26"/>
      <c r="C179" s="26"/>
      <c r="D179" s="26"/>
      <c r="E179" s="26"/>
      <c r="F179" s="13"/>
      <c r="G179" s="13"/>
      <c r="H179" s="13"/>
      <c r="I179" s="13"/>
      <c r="J179" s="13"/>
      <c r="K179" s="13"/>
      <c r="L179" s="13"/>
      <c r="M179" s="13"/>
      <c r="N179" s="13"/>
      <c r="O179" s="13"/>
      <c r="P179" s="13"/>
      <c r="Q179" s="13"/>
      <c r="R179" s="13"/>
      <c r="S179" s="13"/>
      <c r="T179" s="13"/>
    </row>
    <row r="180" spans="1:20">
      <c r="A180" s="26"/>
      <c r="B180" s="26"/>
      <c r="C180" s="26"/>
      <c r="D180" s="26"/>
      <c r="E180" s="26"/>
      <c r="F180" s="13"/>
      <c r="G180" s="13"/>
      <c r="H180" s="13"/>
      <c r="I180" s="13"/>
      <c r="J180" s="13"/>
      <c r="K180" s="13"/>
      <c r="L180" s="13"/>
      <c r="M180" s="13"/>
      <c r="N180" s="13"/>
      <c r="O180" s="13"/>
      <c r="P180" s="13"/>
      <c r="Q180" s="13"/>
      <c r="R180" s="13"/>
      <c r="S180" s="13"/>
      <c r="T180" s="13"/>
    </row>
    <row r="181" spans="1:20">
      <c r="A181" s="26"/>
      <c r="B181" s="26"/>
      <c r="C181" s="26"/>
      <c r="D181" s="26"/>
      <c r="E181" s="26"/>
      <c r="F181" s="13"/>
      <c r="G181" s="13"/>
      <c r="H181" s="13"/>
      <c r="I181" s="13"/>
      <c r="J181" s="13"/>
      <c r="K181" s="13"/>
      <c r="L181" s="13"/>
      <c r="M181" s="13"/>
      <c r="N181" s="13"/>
      <c r="O181" s="13"/>
      <c r="P181" s="13"/>
      <c r="Q181" s="13"/>
      <c r="R181" s="13"/>
      <c r="S181" s="13"/>
      <c r="T181" s="13"/>
    </row>
    <row r="182" spans="1:20">
      <c r="A182" s="26"/>
      <c r="B182" s="26"/>
      <c r="C182" s="26"/>
      <c r="D182" s="26"/>
      <c r="E182" s="26"/>
      <c r="F182" s="13"/>
      <c r="G182" s="13"/>
      <c r="H182" s="13"/>
      <c r="I182" s="13"/>
      <c r="J182" s="13"/>
      <c r="K182" s="13"/>
      <c r="L182" s="13"/>
      <c r="M182" s="13"/>
      <c r="N182" s="13"/>
      <c r="O182" s="13"/>
      <c r="P182" s="13"/>
      <c r="Q182" s="13"/>
      <c r="R182" s="13"/>
      <c r="S182" s="13"/>
      <c r="T182" s="13"/>
    </row>
    <row r="183" spans="1:20">
      <c r="A183" s="26"/>
      <c r="B183" s="26"/>
      <c r="C183" s="26"/>
      <c r="D183" s="26"/>
      <c r="E183" s="26"/>
      <c r="F183" s="13"/>
      <c r="G183" s="13"/>
      <c r="H183" s="13"/>
      <c r="I183" s="13"/>
      <c r="J183" s="13"/>
      <c r="K183" s="13"/>
      <c r="L183" s="13"/>
      <c r="M183" s="13"/>
      <c r="N183" s="13"/>
      <c r="O183" s="13"/>
      <c r="P183" s="13"/>
      <c r="Q183" s="13"/>
      <c r="R183" s="13"/>
      <c r="S183" s="13"/>
      <c r="T183" s="13"/>
    </row>
    <row r="184" spans="1:20">
      <c r="A184" s="26"/>
      <c r="B184" s="26"/>
      <c r="C184" s="26"/>
      <c r="D184" s="26"/>
      <c r="E184" s="26"/>
      <c r="F184" s="13"/>
      <c r="G184" s="13"/>
      <c r="H184" s="13"/>
      <c r="I184" s="13"/>
      <c r="J184" s="13"/>
      <c r="K184" s="13"/>
      <c r="L184" s="13"/>
      <c r="M184" s="13"/>
      <c r="N184" s="13"/>
      <c r="O184" s="13"/>
      <c r="P184" s="13"/>
      <c r="Q184" s="13"/>
      <c r="R184" s="13"/>
      <c r="S184" s="13"/>
      <c r="T184" s="13"/>
    </row>
    <row r="185" spans="1:20">
      <c r="A185" s="26"/>
      <c r="B185" s="26"/>
      <c r="C185" s="26"/>
      <c r="D185" s="26"/>
      <c r="E185" s="26"/>
      <c r="F185" s="13"/>
      <c r="G185" s="13"/>
      <c r="H185" s="13"/>
      <c r="I185" s="13"/>
      <c r="J185" s="13"/>
      <c r="K185" s="13"/>
      <c r="L185" s="13"/>
      <c r="M185" s="13"/>
      <c r="N185" s="13"/>
      <c r="O185" s="13"/>
      <c r="P185" s="13"/>
      <c r="Q185" s="13"/>
      <c r="R185" s="13"/>
      <c r="S185" s="13"/>
      <c r="T185" s="13"/>
    </row>
    <row r="186" spans="1:20">
      <c r="A186" s="26"/>
      <c r="B186" s="26"/>
      <c r="C186" s="26"/>
      <c r="D186" s="26"/>
      <c r="E186" s="26"/>
      <c r="H186" s="13"/>
      <c r="I186" s="13"/>
      <c r="J186" s="13"/>
      <c r="M186" s="13"/>
      <c r="N186" s="13"/>
      <c r="O186" s="13"/>
      <c r="R186" s="13"/>
      <c r="S186" s="13"/>
    </row>
    <row r="187" spans="1:20">
      <c r="A187" s="26"/>
      <c r="B187" s="26"/>
      <c r="C187" s="26"/>
      <c r="D187" s="26"/>
      <c r="E187" s="26"/>
      <c r="H187" s="13"/>
      <c r="I187" s="13"/>
      <c r="J187" s="13"/>
      <c r="M187" s="13"/>
      <c r="N187" s="13"/>
      <c r="O187" s="13"/>
      <c r="R187" s="13"/>
      <c r="S187" s="13"/>
    </row>
    <row r="188" spans="1:20">
      <c r="A188" s="26"/>
      <c r="B188" s="26"/>
      <c r="C188" s="26"/>
      <c r="D188" s="26"/>
      <c r="E188" s="26"/>
      <c r="H188" s="13"/>
      <c r="I188" s="13"/>
      <c r="J188" s="13"/>
      <c r="M188" s="13"/>
      <c r="N188" s="13"/>
      <c r="O188" s="13"/>
      <c r="R188" s="13"/>
      <c r="S188" s="13"/>
    </row>
    <row r="189" spans="1:20">
      <c r="A189" s="26"/>
      <c r="B189" s="26"/>
      <c r="C189" s="26"/>
      <c r="D189" s="26"/>
      <c r="E189" s="26"/>
      <c r="H189" s="13"/>
      <c r="I189" s="13"/>
      <c r="J189" s="13"/>
      <c r="M189" s="13"/>
      <c r="N189" s="13"/>
      <c r="O189" s="13"/>
      <c r="R189" s="13"/>
      <c r="S189" s="13"/>
    </row>
    <row r="190" spans="1:20">
      <c r="A190" s="26"/>
      <c r="B190" s="26"/>
      <c r="C190" s="26"/>
      <c r="D190" s="26"/>
      <c r="E190" s="26"/>
      <c r="H190" s="13"/>
      <c r="I190" s="13"/>
      <c r="J190" s="13"/>
      <c r="M190" s="13"/>
      <c r="N190" s="13"/>
      <c r="O190" s="13"/>
      <c r="R190" s="13"/>
      <c r="S190" s="13"/>
    </row>
    <row r="191" spans="1:20">
      <c r="A191" s="26"/>
      <c r="B191" s="26"/>
      <c r="C191" s="26"/>
      <c r="D191" s="26"/>
      <c r="E191" s="26"/>
      <c r="H191" s="13"/>
      <c r="I191" s="13"/>
      <c r="J191" s="13"/>
      <c r="M191" s="13"/>
      <c r="N191" s="13"/>
      <c r="O191" s="13"/>
      <c r="R191" s="13"/>
      <c r="S191" s="13"/>
    </row>
    <row r="192" spans="1:20">
      <c r="A192" s="26"/>
      <c r="B192" s="26"/>
      <c r="C192" s="26"/>
      <c r="D192" s="26"/>
      <c r="E192" s="26"/>
      <c r="H192" s="13"/>
      <c r="I192" s="13"/>
      <c r="J192" s="13"/>
      <c r="M192" s="13"/>
      <c r="N192" s="13"/>
      <c r="O192" s="13"/>
      <c r="R192" s="13"/>
      <c r="S192" s="13"/>
    </row>
    <row r="193" spans="1:19">
      <c r="A193" s="26"/>
      <c r="B193" s="26"/>
      <c r="C193" s="26"/>
      <c r="D193" s="26"/>
      <c r="E193" s="26"/>
      <c r="H193" s="13"/>
      <c r="I193" s="13"/>
      <c r="J193" s="13"/>
      <c r="M193" s="13"/>
      <c r="N193" s="13"/>
      <c r="O193" s="13"/>
      <c r="R193" s="13"/>
      <c r="S193" s="13"/>
    </row>
    <row r="194" spans="1:19">
      <c r="A194" s="26"/>
      <c r="B194" s="26"/>
      <c r="C194" s="26"/>
      <c r="D194" s="26"/>
      <c r="E194" s="26"/>
      <c r="H194" s="13"/>
      <c r="I194" s="13"/>
      <c r="J194" s="13"/>
      <c r="M194" s="13"/>
      <c r="N194" s="13"/>
      <c r="O194" s="13"/>
      <c r="R194" s="13"/>
      <c r="S194" s="13"/>
    </row>
    <row r="195" spans="1:19">
      <c r="A195" s="26"/>
      <c r="B195" s="26"/>
      <c r="C195" s="26"/>
      <c r="D195" s="26"/>
      <c r="E195" s="26"/>
      <c r="H195" s="13"/>
      <c r="I195" s="13"/>
      <c r="J195" s="13"/>
      <c r="M195" s="13"/>
      <c r="N195" s="13"/>
      <c r="O195" s="13"/>
      <c r="R195" s="13"/>
      <c r="S195" s="13"/>
    </row>
  </sheetData>
  <pageMargins left="0.2" right="0.2" top="0.75" bottom="0.5" header="0.3" footer="0.3"/>
  <pageSetup paperSize="5"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16</vt:i4>
      </vt:variant>
    </vt:vector>
  </HeadingPairs>
  <TitlesOfParts>
    <vt:vector size="27" baseType="lpstr">
      <vt:lpstr>Summary</vt:lpstr>
      <vt:lpstr>Segments Schedule</vt:lpstr>
      <vt:lpstr>Operating Results</vt:lpstr>
      <vt:lpstr>Segment Results</vt:lpstr>
      <vt:lpstr>Segment Revenue Detail History</vt:lpstr>
      <vt:lpstr>Segment EBITDA Detail History</vt:lpstr>
      <vt:lpstr>Investment Segments Detail </vt:lpstr>
      <vt:lpstr>Income Statement History</vt:lpstr>
      <vt:lpstr>Balance Sheet History</vt:lpstr>
      <vt:lpstr>EBITDA Reconciliation</vt:lpstr>
      <vt:lpstr>NonGAAP Financial Measures</vt:lpstr>
      <vt:lpstr>'Balance Sheet History'!Print_Area</vt:lpstr>
      <vt:lpstr>'EBITDA Reconciliation'!Print_Area</vt:lpstr>
      <vt:lpstr>'Income Statement History'!Print_Area</vt:lpstr>
      <vt:lpstr>'Investment Segments Detail '!Print_Area</vt:lpstr>
      <vt:lpstr>'NonGAAP Financial Measures'!Print_Area</vt:lpstr>
      <vt:lpstr>'Operating Results'!Print_Area</vt:lpstr>
      <vt:lpstr>'Segment EBITDA Detail History'!Print_Area</vt:lpstr>
      <vt:lpstr>'Segment Results'!Print_Area</vt:lpstr>
      <vt:lpstr>'Segment Revenue Detail History'!Print_Area</vt:lpstr>
      <vt:lpstr>'Income Statement History'!Print_Titles</vt:lpstr>
      <vt:lpstr>'Segment EBITDA Detail History'!Print_Titles</vt:lpstr>
      <vt:lpstr>'Segment Revenue Detail History'!Print_Titles</vt:lpstr>
      <vt:lpstr>Segment_3mo_CY</vt:lpstr>
      <vt:lpstr>Segment_3mo_PY</vt:lpstr>
      <vt:lpstr>Segment_YTD_CY</vt:lpstr>
      <vt:lpstr>Segment_YTD_PY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 Burke</dc:creator>
  <cp:lastModifiedBy>Hottovy, Laura @ Investor Relations</cp:lastModifiedBy>
  <cp:lastPrinted>2018-02-08T00:02:49Z</cp:lastPrinted>
  <dcterms:created xsi:type="dcterms:W3CDTF">2017-07-28T19:23:45Z</dcterms:created>
  <dcterms:modified xsi:type="dcterms:W3CDTF">2018-02-08T00:16:07Z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