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dmcculley\Box Sync\Investor Relations\Quarterly Reporting Folders\Q1 2019\FINAL\"/>
    </mc:Choice>
  </mc:AlternateContent>
  <xr:revisionPtr revIDLastSave="0" documentId="13_ncr:1_{94A6D88A-6B69-4C1A-9FC5-AC99DDD36C89}" xr6:coauthVersionLast="36" xr6:coauthVersionMax="36" xr10:uidLastSave="{00000000-0000-0000-0000-000000000000}"/>
  <bookViews>
    <workbookView xWindow="-120" yWindow="-120" windowWidth="51840" windowHeight="21240" tabRatio="858" xr2:uid="{00000000-000D-0000-FFFF-FFFF00000000}"/>
  </bookViews>
  <sheets>
    <sheet name="Cover" sheetId="13" r:id="rId1"/>
    <sheet name="Operating Results" sheetId="22" r:id="rId2"/>
    <sheet name="Segment Results" sheetId="19" r:id="rId3"/>
    <sheet name="Segment Revenue Detail History" sheetId="20" r:id="rId4"/>
    <sheet name="Segment EBITDA Detail History" sheetId="18" r:id="rId5"/>
    <sheet name="Investment Segment Detail" sheetId="17" r:id="rId6"/>
    <sheet name="Income Statement History" sheetId="21" r:id="rId7"/>
    <sheet name="Historical Segment Detail" sheetId="2" r:id="rId8"/>
    <sheet name="Balance Sheet History" sheetId="15" r:id="rId9"/>
    <sheet name="EBITDA Reconciliation" sheetId="14" r:id="rId10"/>
    <sheet name="NonGAAP Financial Measures" sheetId="16" r:id="rId11"/>
    <sheet name="Input" sheetId="4" state="hidden" r:id="rId12"/>
    <sheet name="Input2" sheetId="6" state="hidden" r:id="rId13"/>
  </sheets>
  <definedNames>
    <definedName name="_xlnm.Print_Area" localSheetId="8">'Balance Sheet History'!$A$1:$L$35</definedName>
    <definedName name="_xlnm.Print_Area" localSheetId="0">Cover!$A$1:$P$11</definedName>
    <definedName name="_xlnm.Print_Area" localSheetId="9">'EBITDA Reconciliation'!$A$1:$N$28</definedName>
    <definedName name="_xlnm.Print_Area" localSheetId="7">'Historical Segment Detail'!$B$4:$M$109</definedName>
    <definedName name="_xlnm.Print_Area" localSheetId="6">'Income Statement History'!$A$1:$L$147</definedName>
    <definedName name="_xlnm.Print_Area" localSheetId="5">'Investment Segment Detail'!$A$1:$N$13</definedName>
    <definedName name="_xlnm.Print_Area" localSheetId="10">'NonGAAP Financial Measures'!$A$1:$B$18</definedName>
    <definedName name="_xlnm.Print_Area" localSheetId="1">'Operating Results'!$A$1:$K$51</definedName>
    <definedName name="_xlnm.Print_Area" localSheetId="4">'Segment EBITDA Detail History'!$A$4:$L$106</definedName>
    <definedName name="_xlnm.Print_Area" localSheetId="2">'Segment Results'!$A$1:$I$37</definedName>
    <definedName name="_xlnm.Print_Area" localSheetId="3">'Segment Revenue Detail History'!$A$4:$L$77</definedName>
    <definedName name="_xlnm.Print_Titles" localSheetId="7">'Historical Segment Detail'!$1:$3</definedName>
    <definedName name="_xlnm.Print_Titles" localSheetId="6">'Income Statement History'!$1:$3</definedName>
    <definedName name="_xlnm.Print_Titles" localSheetId="4">'Segment EBITDA Detail History'!$1:$3</definedName>
    <definedName name="_xlnm.Print_Titles" localSheetId="3">'Segment Revenue Detail History'!$1:$3</definedName>
    <definedName name="Segment_3mo_CY" comment="Segment table CY 3 months">'Segment Results'!$A$3:$I$36</definedName>
    <definedName name="Segment_3mo_PY" comment="Segment table PY 3 months">'Segment Results'!#REF!</definedName>
    <definedName name="Segment_YTD_CY" comment="Segment table CY YTD">'Segment Results'!#REF!</definedName>
    <definedName name="Segment_YTD_PY" comment="Segment table PY YTD">'Segment Results'!#REF!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9" i="22" l="1"/>
  <c r="E39" i="22"/>
  <c r="L82" i="21"/>
  <c r="N27" i="14" l="1"/>
  <c r="E27" i="14"/>
  <c r="J40" i="18" l="1"/>
  <c r="K40" i="18" s="1"/>
  <c r="I128" i="21"/>
  <c r="I144" i="21"/>
  <c r="I136" i="21"/>
  <c r="B72" i="2" l="1"/>
  <c r="A32" i="20"/>
  <c r="A57" i="20" s="1"/>
  <c r="B35" i="2"/>
  <c r="B49" i="2" s="1"/>
  <c r="B60" i="2" s="1"/>
  <c r="B74" i="2" s="1"/>
  <c r="B85" i="2" s="1"/>
  <c r="B96" i="2" s="1"/>
  <c r="B107" i="2" s="1"/>
  <c r="B25" i="2"/>
  <c r="B36" i="2" s="1"/>
  <c r="B50" i="2" s="1"/>
  <c r="B61" i="2" s="1"/>
  <c r="B75" i="2" s="1"/>
  <c r="B86" i="2" s="1"/>
  <c r="B97" i="2" s="1"/>
  <c r="B108" i="2" s="1"/>
  <c r="A37" i="20"/>
  <c r="L12" i="18"/>
  <c r="L24" i="18" s="1"/>
  <c r="M62" i="2"/>
  <c r="M65" i="2" s="1"/>
  <c r="M66" i="2" s="1"/>
  <c r="H62" i="2"/>
  <c r="L55" i="2"/>
  <c r="L56" i="2"/>
  <c r="L57" i="2"/>
  <c r="L58" i="2"/>
  <c r="L59" i="2"/>
  <c r="L60" i="2"/>
  <c r="L61" i="2"/>
  <c r="G55" i="2"/>
  <c r="G56" i="2"/>
  <c r="G57" i="2"/>
  <c r="G58" i="2"/>
  <c r="G59" i="2"/>
  <c r="G60" i="2"/>
  <c r="G61" i="2"/>
  <c r="K62" i="2"/>
  <c r="K64" i="2" s="1"/>
  <c r="F62" i="2"/>
  <c r="F65" i="2" s="1"/>
  <c r="J62" i="2"/>
  <c r="E62" i="2"/>
  <c r="E65" i="2" s="1"/>
  <c r="E66" i="2" s="1"/>
  <c r="I62" i="2"/>
  <c r="I64" i="2" s="1"/>
  <c r="D62" i="2"/>
  <c r="D64" i="2" s="1"/>
  <c r="C62" i="2"/>
  <c r="C65" i="2" s="1"/>
  <c r="C66" i="2" s="1"/>
  <c r="L63" i="2"/>
  <c r="G63" i="2"/>
  <c r="M37" i="2"/>
  <c r="M40" i="2" s="1"/>
  <c r="L30" i="2"/>
  <c r="L31" i="2"/>
  <c r="L32" i="2"/>
  <c r="L33" i="2"/>
  <c r="L34" i="2"/>
  <c r="L35" i="2"/>
  <c r="L36" i="2"/>
  <c r="K37" i="2"/>
  <c r="K40" i="2" s="1"/>
  <c r="H37" i="2"/>
  <c r="H39" i="2" s="1"/>
  <c r="I37" i="2"/>
  <c r="I40" i="2" s="1"/>
  <c r="I41" i="2" s="1"/>
  <c r="J37" i="2"/>
  <c r="J40" i="2" s="1"/>
  <c r="L38" i="2"/>
  <c r="G30" i="2"/>
  <c r="G31" i="2"/>
  <c r="L45" i="2" s="1"/>
  <c r="G32" i="2"/>
  <c r="G33" i="2"/>
  <c r="G34" i="2"/>
  <c r="G35" i="2"/>
  <c r="L49" i="2" s="1"/>
  <c r="G36" i="2"/>
  <c r="F37" i="2"/>
  <c r="F40" i="2" s="1"/>
  <c r="F41" i="2" s="1"/>
  <c r="E37" i="2"/>
  <c r="E39" i="2" s="1"/>
  <c r="C37" i="2"/>
  <c r="C40" i="2" s="1"/>
  <c r="D37" i="2"/>
  <c r="D39" i="2" s="1"/>
  <c r="G38" i="2"/>
  <c r="M12" i="2"/>
  <c r="M14" i="2" s="1"/>
  <c r="L13" i="2"/>
  <c r="L11" i="2"/>
  <c r="L10" i="2"/>
  <c r="L9" i="2"/>
  <c r="L8" i="2"/>
  <c r="L7" i="2"/>
  <c r="L6" i="2"/>
  <c r="L5" i="2"/>
  <c r="K12" i="2"/>
  <c r="K15" i="2" s="1"/>
  <c r="J12" i="2"/>
  <c r="J15" i="2" s="1"/>
  <c r="I12" i="2"/>
  <c r="I15" i="2" s="1"/>
  <c r="H12" i="2"/>
  <c r="H15" i="2" s="1"/>
  <c r="F12" i="2"/>
  <c r="F15" i="2" s="1"/>
  <c r="E12" i="2"/>
  <c r="E15" i="2" s="1"/>
  <c r="D12" i="2"/>
  <c r="D15" i="2" s="1"/>
  <c r="G5" i="2"/>
  <c r="G6" i="2"/>
  <c r="G7" i="2"/>
  <c r="G8" i="2"/>
  <c r="C12" i="2"/>
  <c r="G13" i="2"/>
  <c r="G11" i="2"/>
  <c r="G10" i="2"/>
  <c r="B31" i="2"/>
  <c r="B45" i="2" s="1"/>
  <c r="B56" i="2" s="1"/>
  <c r="B70" i="2" s="1"/>
  <c r="B81" i="2" s="1"/>
  <c r="B92" i="2" s="1"/>
  <c r="B103" i="2" s="1"/>
  <c r="B20" i="2"/>
  <c r="L85" i="18"/>
  <c r="L95" i="18"/>
  <c r="L96" i="18"/>
  <c r="I85" i="18"/>
  <c r="H85" i="18"/>
  <c r="G85" i="18"/>
  <c r="E85" i="18"/>
  <c r="D85" i="18"/>
  <c r="C85" i="18"/>
  <c r="B85" i="18"/>
  <c r="L55" i="18"/>
  <c r="L56" i="18"/>
  <c r="L57" i="18" s="1"/>
  <c r="L9" i="18"/>
  <c r="L10" i="18"/>
  <c r="L11" i="18"/>
  <c r="L23" i="18" s="1"/>
  <c r="L15" i="18"/>
  <c r="L19" i="18"/>
  <c r="L20" i="18"/>
  <c r="L21" i="18"/>
  <c r="L26" i="18"/>
  <c r="G10" i="20"/>
  <c r="L37" i="20" s="1"/>
  <c r="J81" i="18"/>
  <c r="J85" i="18" s="1"/>
  <c r="J55" i="18"/>
  <c r="J62" i="18"/>
  <c r="J69" i="18"/>
  <c r="K69" i="18" s="1"/>
  <c r="G55" i="18"/>
  <c r="H55" i="18"/>
  <c r="I55" i="18"/>
  <c r="J9" i="18"/>
  <c r="J10" i="18"/>
  <c r="J11" i="18"/>
  <c r="J64" i="18"/>
  <c r="K64" i="18" s="1"/>
  <c r="J19" i="18"/>
  <c r="J21" i="18"/>
  <c r="D55" i="18"/>
  <c r="K82" i="18"/>
  <c r="K83" i="18"/>
  <c r="J72" i="18"/>
  <c r="G62" i="18"/>
  <c r="H62" i="18"/>
  <c r="I62" i="18"/>
  <c r="K59" i="18"/>
  <c r="K60" i="18"/>
  <c r="K61" i="18"/>
  <c r="J38" i="18"/>
  <c r="J48" i="18"/>
  <c r="K44" i="18"/>
  <c r="K45" i="18"/>
  <c r="K46" i="18"/>
  <c r="K35" i="18"/>
  <c r="K36" i="18"/>
  <c r="K37" i="18"/>
  <c r="I38" i="18"/>
  <c r="H38" i="18"/>
  <c r="G38" i="18"/>
  <c r="J95" i="18"/>
  <c r="I95" i="18"/>
  <c r="H95" i="18"/>
  <c r="G95" i="18"/>
  <c r="I72" i="18"/>
  <c r="H72" i="18"/>
  <c r="G9" i="18"/>
  <c r="G10" i="18"/>
  <c r="G11" i="18"/>
  <c r="G23" i="18" s="1"/>
  <c r="G15" i="18"/>
  <c r="G19" i="18"/>
  <c r="G20" i="18"/>
  <c r="G21" i="18"/>
  <c r="H9" i="18"/>
  <c r="H10" i="18"/>
  <c r="H11" i="18"/>
  <c r="H23" i="18" s="1"/>
  <c r="H15" i="18"/>
  <c r="H19" i="18"/>
  <c r="H20" i="18"/>
  <c r="H21" i="18"/>
  <c r="H24" i="18"/>
  <c r="G24" i="18"/>
  <c r="I11" i="18"/>
  <c r="I23" i="18" s="1"/>
  <c r="I21" i="18"/>
  <c r="I20" i="18"/>
  <c r="I19" i="18"/>
  <c r="I9" i="18"/>
  <c r="I10" i="18"/>
  <c r="I15" i="18"/>
  <c r="E21" i="18"/>
  <c r="E20" i="18"/>
  <c r="E19" i="18"/>
  <c r="E15" i="18"/>
  <c r="E9" i="18"/>
  <c r="E11" i="18"/>
  <c r="E10" i="18"/>
  <c r="H48" i="18"/>
  <c r="I48" i="18"/>
  <c r="F70" i="18"/>
  <c r="F69" i="18"/>
  <c r="F61" i="18"/>
  <c r="F60" i="18"/>
  <c r="F59" i="18"/>
  <c r="B55" i="18"/>
  <c r="B62" i="18"/>
  <c r="C55" i="18"/>
  <c r="C62" i="18"/>
  <c r="D62" i="18"/>
  <c r="E55" i="18"/>
  <c r="E62" i="18"/>
  <c r="F93" i="18"/>
  <c r="F92" i="18"/>
  <c r="F91" i="18"/>
  <c r="F90" i="18"/>
  <c r="F87" i="18"/>
  <c r="F83" i="18"/>
  <c r="F82" i="18"/>
  <c r="F74" i="18"/>
  <c r="F45" i="18"/>
  <c r="F46" i="18"/>
  <c r="F44" i="18"/>
  <c r="F37" i="18"/>
  <c r="B15" i="18"/>
  <c r="C15" i="18"/>
  <c r="D15" i="18"/>
  <c r="F36" i="18"/>
  <c r="F35" i="18"/>
  <c r="D21" i="18"/>
  <c r="D20" i="18"/>
  <c r="D19" i="18"/>
  <c r="D11" i="18"/>
  <c r="D10" i="18"/>
  <c r="D9" i="18"/>
  <c r="C21" i="18"/>
  <c r="C20" i="18"/>
  <c r="C19" i="18"/>
  <c r="C9" i="18"/>
  <c r="B9" i="18"/>
  <c r="B21" i="18"/>
  <c r="B20" i="18"/>
  <c r="B19" i="18"/>
  <c r="C10" i="18"/>
  <c r="C11" i="18"/>
  <c r="C23" i="18" s="1"/>
  <c r="C24" i="18"/>
  <c r="C95" i="18"/>
  <c r="E95" i="18"/>
  <c r="D95" i="18"/>
  <c r="C72" i="18"/>
  <c r="E72" i="18"/>
  <c r="D72" i="18"/>
  <c r="L72" i="18"/>
  <c r="G72" i="18"/>
  <c r="B72" i="18"/>
  <c r="C38" i="18"/>
  <c r="C48" i="18"/>
  <c r="L48" i="18"/>
  <c r="G48" i="18"/>
  <c r="B48" i="18"/>
  <c r="D48" i="18"/>
  <c r="E48" i="18"/>
  <c r="B95" i="18"/>
  <c r="B98" i="18"/>
  <c r="B38" i="18"/>
  <c r="B24" i="18"/>
  <c r="B11" i="18"/>
  <c r="B10" i="18"/>
  <c r="K91" i="18"/>
  <c r="K92" i="18"/>
  <c r="K93" i="18"/>
  <c r="L114" i="21"/>
  <c r="L113" i="21"/>
  <c r="L112" i="21"/>
  <c r="L110" i="21"/>
  <c r="L88" i="21"/>
  <c r="L93" i="21"/>
  <c r="L54" i="21"/>
  <c r="L58" i="21" s="1"/>
  <c r="L64" i="21"/>
  <c r="L76" i="21" s="1"/>
  <c r="L66" i="21"/>
  <c r="L132" i="21" s="1"/>
  <c r="L77" i="21"/>
  <c r="L78" i="21"/>
  <c r="L81" i="21"/>
  <c r="L117" i="21" s="1"/>
  <c r="L8" i="21"/>
  <c r="L14" i="21"/>
  <c r="L37" i="21"/>
  <c r="L38" i="21"/>
  <c r="L32" i="21"/>
  <c r="L34" i="21"/>
  <c r="L35" i="21"/>
  <c r="L36" i="21"/>
  <c r="L140" i="21"/>
  <c r="L142" i="21"/>
  <c r="L134" i="21"/>
  <c r="L124" i="21"/>
  <c r="L126" i="21"/>
  <c r="L59" i="21"/>
  <c r="L49" i="21"/>
  <c r="L62" i="18"/>
  <c r="L38" i="18"/>
  <c r="L49" i="20"/>
  <c r="L47" i="20"/>
  <c r="L46" i="20"/>
  <c r="L45" i="20"/>
  <c r="L44" i="20"/>
  <c r="L69" i="20" s="1"/>
  <c r="L41" i="20"/>
  <c r="L36" i="20"/>
  <c r="L35" i="20"/>
  <c r="L34" i="20"/>
  <c r="L33" i="20"/>
  <c r="L32" i="20"/>
  <c r="K35" i="20"/>
  <c r="L17" i="20"/>
  <c r="K21" i="20"/>
  <c r="K44" i="20" s="1"/>
  <c r="K69" i="20" s="1"/>
  <c r="K22" i="20"/>
  <c r="K23" i="20"/>
  <c r="K46" i="20" s="1"/>
  <c r="K24" i="20"/>
  <c r="K26" i="20"/>
  <c r="K49" i="20" s="1"/>
  <c r="K27" i="20"/>
  <c r="K28" i="20"/>
  <c r="K51" i="20" s="1"/>
  <c r="K16" i="20"/>
  <c r="K5" i="20"/>
  <c r="K6" i="20"/>
  <c r="K7" i="20"/>
  <c r="K8" i="20"/>
  <c r="K9" i="20"/>
  <c r="J51" i="20"/>
  <c r="J50" i="20"/>
  <c r="J49" i="20"/>
  <c r="J47" i="20"/>
  <c r="J46" i="20"/>
  <c r="J45" i="20"/>
  <c r="J44" i="20"/>
  <c r="J69" i="20" s="1"/>
  <c r="J41" i="20"/>
  <c r="J37" i="20"/>
  <c r="J36" i="20"/>
  <c r="J35" i="20"/>
  <c r="J34" i="20"/>
  <c r="J33" i="20"/>
  <c r="J32" i="20"/>
  <c r="J17" i="20"/>
  <c r="J56" i="18" s="1"/>
  <c r="I25" i="20"/>
  <c r="I79" i="18" s="1"/>
  <c r="I51" i="20"/>
  <c r="I50" i="20"/>
  <c r="I49" i="20"/>
  <c r="I47" i="20"/>
  <c r="I46" i="20"/>
  <c r="I45" i="20"/>
  <c r="I44" i="20"/>
  <c r="I69" i="20" s="1"/>
  <c r="I41" i="20"/>
  <c r="I37" i="20"/>
  <c r="I36" i="20"/>
  <c r="I35" i="20"/>
  <c r="I34" i="20"/>
  <c r="I33" i="20"/>
  <c r="I17" i="20"/>
  <c r="I56" i="18" s="1"/>
  <c r="I5" i="20"/>
  <c r="H51" i="20"/>
  <c r="H50" i="20"/>
  <c r="H49" i="20"/>
  <c r="H47" i="20"/>
  <c r="H46" i="20"/>
  <c r="H44" i="20"/>
  <c r="H69" i="20" s="1"/>
  <c r="H41" i="20"/>
  <c r="H37" i="20"/>
  <c r="H36" i="20"/>
  <c r="H35" i="20"/>
  <c r="H32" i="20"/>
  <c r="H17" i="20"/>
  <c r="H56" i="18" s="1"/>
  <c r="G51" i="20"/>
  <c r="G50" i="20"/>
  <c r="G49" i="20"/>
  <c r="G47" i="20"/>
  <c r="G46" i="20"/>
  <c r="G44" i="20"/>
  <c r="G69" i="20" s="1"/>
  <c r="G41" i="20"/>
  <c r="G36" i="20"/>
  <c r="G35" i="20"/>
  <c r="G34" i="20"/>
  <c r="G33" i="20"/>
  <c r="G32" i="20"/>
  <c r="G17" i="20"/>
  <c r="G56" i="18" s="1"/>
  <c r="F28" i="20"/>
  <c r="F27" i="20"/>
  <c r="F26" i="20"/>
  <c r="F24" i="20"/>
  <c r="F23" i="20"/>
  <c r="F21" i="20"/>
  <c r="F16" i="20"/>
  <c r="E17" i="20"/>
  <c r="E56" i="18" s="1"/>
  <c r="C6" i="20"/>
  <c r="C9" i="20"/>
  <c r="F9" i="20" s="1"/>
  <c r="C7" i="20"/>
  <c r="H34" i="20" s="1"/>
  <c r="F10" i="20"/>
  <c r="F8" i="20"/>
  <c r="F7" i="20"/>
  <c r="D17" i="20"/>
  <c r="D56" i="18" s="1"/>
  <c r="D5" i="20"/>
  <c r="I32" i="20" s="1"/>
  <c r="C22" i="20"/>
  <c r="H45" i="20" s="1"/>
  <c r="B22" i="20"/>
  <c r="F22" i="20" s="1"/>
  <c r="C17" i="20"/>
  <c r="C56" i="18" s="1"/>
  <c r="B17" i="20"/>
  <c r="B56" i="18" s="1"/>
  <c r="L25" i="20"/>
  <c r="L79" i="18" s="1"/>
  <c r="L18" i="20"/>
  <c r="L11" i="20"/>
  <c r="L31" i="18" s="1"/>
  <c r="F23" i="15"/>
  <c r="L21" i="15"/>
  <c r="L25" i="15" s="1"/>
  <c r="L32" i="15" s="1"/>
  <c r="F10" i="15"/>
  <c r="L30" i="15"/>
  <c r="L14" i="15"/>
  <c r="N15" i="14"/>
  <c r="I15" i="19"/>
  <c r="I14" i="19"/>
  <c r="I16" i="19"/>
  <c r="C26" i="19"/>
  <c r="E26" i="19"/>
  <c r="G26" i="19"/>
  <c r="I8" i="19"/>
  <c r="I10" i="19" s="1"/>
  <c r="I9" i="19"/>
  <c r="I13" i="19"/>
  <c r="I19" i="19"/>
  <c r="I23" i="19"/>
  <c r="I24" i="19"/>
  <c r="I25" i="19"/>
  <c r="G27" i="19"/>
  <c r="I27" i="19" s="1"/>
  <c r="G10" i="19"/>
  <c r="G17" i="19"/>
  <c r="E10" i="19"/>
  <c r="E21" i="19" s="1"/>
  <c r="E29" i="19" s="1"/>
  <c r="E36" i="19" s="1"/>
  <c r="E17" i="19"/>
  <c r="C10" i="19"/>
  <c r="C17" i="19"/>
  <c r="B35" i="22"/>
  <c r="H35" i="22" s="1"/>
  <c r="K35" i="22" s="1"/>
  <c r="H24" i="22"/>
  <c r="H25" i="22"/>
  <c r="H28" i="22" s="1"/>
  <c r="H30" i="22" s="1"/>
  <c r="B36" i="22"/>
  <c r="A35" i="22"/>
  <c r="B14" i="22"/>
  <c r="B18" i="22" s="1"/>
  <c r="B25" i="22" s="1"/>
  <c r="B8" i="22"/>
  <c r="B32" i="22"/>
  <c r="B34" i="22"/>
  <c r="K34" i="22" s="1"/>
  <c r="B37" i="22"/>
  <c r="B38" i="22"/>
  <c r="E13" i="22"/>
  <c r="K13" i="22"/>
  <c r="K24" i="22"/>
  <c r="E14" i="22"/>
  <c r="E18" i="22" s="1"/>
  <c r="E25" i="22" s="1"/>
  <c r="E28" i="22" s="1"/>
  <c r="E30" i="22" s="1"/>
  <c r="K26" i="22"/>
  <c r="K46" i="22"/>
  <c r="K16" i="22"/>
  <c r="K10" i="22"/>
  <c r="K11" i="22"/>
  <c r="K12" i="22"/>
  <c r="K6" i="22"/>
  <c r="K8" i="22" s="1"/>
  <c r="K7" i="22"/>
  <c r="K20" i="22"/>
  <c r="K21" i="22"/>
  <c r="K22" i="22"/>
  <c r="K23" i="22"/>
  <c r="K29" i="22"/>
  <c r="K48" i="22" s="1"/>
  <c r="B46" i="22"/>
  <c r="B48" i="22"/>
  <c r="K41" i="22"/>
  <c r="K32" i="22"/>
  <c r="D37" i="22"/>
  <c r="K37" i="22"/>
  <c r="I14" i="22"/>
  <c r="I18" i="22"/>
  <c r="I25" i="22" s="1"/>
  <c r="I28" i="22" s="1"/>
  <c r="I30" i="22" s="1"/>
  <c r="G14" i="22"/>
  <c r="G18" i="22" s="1"/>
  <c r="G25" i="22" s="1"/>
  <c r="G28" i="22" s="1"/>
  <c r="G30" i="22" s="1"/>
  <c r="G39" i="22" s="1"/>
  <c r="F14" i="22"/>
  <c r="F18" i="22" s="1"/>
  <c r="F25" i="22" s="1"/>
  <c r="F28" i="22" s="1"/>
  <c r="F30" i="22" s="1"/>
  <c r="F39" i="22" s="1"/>
  <c r="D14" i="22"/>
  <c r="D18" i="22" s="1"/>
  <c r="D25" i="22" s="1"/>
  <c r="D28" i="22" s="1"/>
  <c r="D30" i="22" s="1"/>
  <c r="D39" i="22" s="1"/>
  <c r="A37" i="22"/>
  <c r="K6" i="21"/>
  <c r="K7" i="21"/>
  <c r="K16" i="21"/>
  <c r="K14" i="21"/>
  <c r="B8" i="21"/>
  <c r="C8" i="21"/>
  <c r="D8" i="21"/>
  <c r="E8" i="21"/>
  <c r="F8" i="21"/>
  <c r="G8" i="21"/>
  <c r="K11" i="21"/>
  <c r="C14" i="21"/>
  <c r="D14" i="21"/>
  <c r="E14" i="21"/>
  <c r="F14" i="21"/>
  <c r="G14" i="21"/>
  <c r="K20" i="21"/>
  <c r="K21" i="21"/>
  <c r="L13" i="14"/>
  <c r="K22" i="21"/>
  <c r="M13" i="14" s="1"/>
  <c r="K23" i="21"/>
  <c r="K24" i="21"/>
  <c r="K35" i="21" s="1"/>
  <c r="M11" i="14" s="1"/>
  <c r="L10" i="14"/>
  <c r="B27" i="21"/>
  <c r="C27" i="21"/>
  <c r="D27" i="21"/>
  <c r="E27" i="21"/>
  <c r="F27" i="21"/>
  <c r="G27" i="21"/>
  <c r="H124" i="21"/>
  <c r="H125" i="21"/>
  <c r="H126" i="21"/>
  <c r="H127" i="21"/>
  <c r="J126" i="21"/>
  <c r="B28" i="21"/>
  <c r="B30" i="21" s="1"/>
  <c r="C28" i="21"/>
  <c r="D28" i="21"/>
  <c r="D30" i="21" s="1"/>
  <c r="E28" i="21"/>
  <c r="F28" i="21"/>
  <c r="F30" i="21" s="1"/>
  <c r="G28" i="21"/>
  <c r="G30" i="21" s="1"/>
  <c r="E30" i="21"/>
  <c r="E39" i="21" s="1"/>
  <c r="G15" i="14" s="1"/>
  <c r="J34" i="21"/>
  <c r="J35" i="21"/>
  <c r="L11" i="14" s="1"/>
  <c r="B36" i="21"/>
  <c r="B75" i="21" s="1"/>
  <c r="H39" i="21"/>
  <c r="J15" i="14" s="1"/>
  <c r="H42" i="21"/>
  <c r="F46" i="21"/>
  <c r="F47" i="21"/>
  <c r="B88" i="21"/>
  <c r="C88" i="21"/>
  <c r="G88" i="21"/>
  <c r="G48" i="21" s="1"/>
  <c r="H48" i="21"/>
  <c r="B49" i="21"/>
  <c r="C49" i="21"/>
  <c r="F49" i="21"/>
  <c r="G49" i="21"/>
  <c r="H49" i="21"/>
  <c r="B50" i="21"/>
  <c r="F50" i="21" s="1"/>
  <c r="C50" i="21"/>
  <c r="G50" i="21"/>
  <c r="H50" i="21"/>
  <c r="B51" i="21"/>
  <c r="C51" i="21"/>
  <c r="G51" i="21"/>
  <c r="H51" i="21"/>
  <c r="B52" i="21"/>
  <c r="C52" i="21"/>
  <c r="G52" i="21"/>
  <c r="H52" i="21"/>
  <c r="D54" i="21"/>
  <c r="D58" i="21" s="1"/>
  <c r="D65" i="21" s="1"/>
  <c r="E54" i="21"/>
  <c r="E58" i="21" s="1"/>
  <c r="E65" i="21" s="1"/>
  <c r="B56" i="21"/>
  <c r="C56" i="21"/>
  <c r="F56" i="21"/>
  <c r="H56" i="21"/>
  <c r="F57" i="21"/>
  <c r="C58" i="21"/>
  <c r="G58" i="21"/>
  <c r="H58" i="21"/>
  <c r="B59" i="21"/>
  <c r="C59" i="21"/>
  <c r="G59" i="21"/>
  <c r="H59" i="21"/>
  <c r="B60" i="21"/>
  <c r="C60" i="21"/>
  <c r="G60" i="21"/>
  <c r="H60" i="21"/>
  <c r="B61" i="21"/>
  <c r="C61" i="21"/>
  <c r="G61" i="21"/>
  <c r="H61" i="21"/>
  <c r="C62" i="21"/>
  <c r="F62" i="21" s="1"/>
  <c r="H62" i="21"/>
  <c r="F63" i="21"/>
  <c r="A64" i="21"/>
  <c r="A76" i="21" s="1"/>
  <c r="F64" i="21"/>
  <c r="G64" i="21"/>
  <c r="C65" i="21"/>
  <c r="C133" i="21" s="1"/>
  <c r="E66" i="21"/>
  <c r="E75" i="21" s="1"/>
  <c r="G65" i="21"/>
  <c r="G133" i="21" s="1"/>
  <c r="H103" i="21"/>
  <c r="H105" i="21" s="1"/>
  <c r="B66" i="21"/>
  <c r="C66" i="21"/>
  <c r="C132" i="21" s="1"/>
  <c r="F66" i="21"/>
  <c r="G66" i="21"/>
  <c r="H66" i="21"/>
  <c r="H132" i="21" s="1"/>
  <c r="C69" i="21"/>
  <c r="C134" i="21"/>
  <c r="B69" i="21"/>
  <c r="F69" i="21" s="1"/>
  <c r="F134" i="21" s="1"/>
  <c r="C106" i="21"/>
  <c r="C108" i="21" s="1"/>
  <c r="C118" i="21" s="1"/>
  <c r="G106" i="21"/>
  <c r="H69" i="21"/>
  <c r="H134" i="21" s="1"/>
  <c r="G69" i="21"/>
  <c r="G134" i="21" s="1"/>
  <c r="B77" i="21"/>
  <c r="G75" i="21"/>
  <c r="G77" i="21"/>
  <c r="C75" i="21"/>
  <c r="D75" i="21"/>
  <c r="F75" i="21"/>
  <c r="H75" i="21"/>
  <c r="F76" i="21"/>
  <c r="C77" i="21"/>
  <c r="D77" i="21"/>
  <c r="E77" i="21"/>
  <c r="J77" i="21"/>
  <c r="H77" i="21"/>
  <c r="H81" i="21"/>
  <c r="H117" i="21" s="1"/>
  <c r="J81" i="21"/>
  <c r="J117" i="21" s="1"/>
  <c r="K81" i="21"/>
  <c r="K117" i="21" s="1"/>
  <c r="K86" i="21"/>
  <c r="K87" i="21"/>
  <c r="D88" i="21"/>
  <c r="E88" i="21"/>
  <c r="F88" i="21"/>
  <c r="K90" i="21"/>
  <c r="K91" i="21"/>
  <c r="K92" i="21"/>
  <c r="K114" i="21" s="1"/>
  <c r="B93" i="21"/>
  <c r="C93" i="21"/>
  <c r="D93" i="21"/>
  <c r="E93" i="21"/>
  <c r="F93" i="21"/>
  <c r="G93" i="21"/>
  <c r="K95" i="21"/>
  <c r="K99" i="21"/>
  <c r="K100" i="21"/>
  <c r="K101" i="21"/>
  <c r="K110" i="21" s="1"/>
  <c r="K102" i="21"/>
  <c r="K112" i="21" s="1"/>
  <c r="J140" i="21"/>
  <c r="K104" i="21"/>
  <c r="K113" i="21" s="1"/>
  <c r="B105" i="21"/>
  <c r="C105" i="21"/>
  <c r="D105" i="21"/>
  <c r="E105" i="21"/>
  <c r="F105" i="21"/>
  <c r="G105" i="21"/>
  <c r="K107" i="21"/>
  <c r="K142" i="21" s="1"/>
  <c r="J142" i="21"/>
  <c r="B106" i="21"/>
  <c r="B108" i="21" s="1"/>
  <c r="D106" i="21"/>
  <c r="D108" i="21" s="1"/>
  <c r="E106" i="21"/>
  <c r="E108" i="21" s="1"/>
  <c r="F106" i="21"/>
  <c r="F108" i="21" s="1"/>
  <c r="F115" i="21" s="1"/>
  <c r="H27" i="14" s="1"/>
  <c r="J110" i="21"/>
  <c r="J113" i="21"/>
  <c r="B124" i="21"/>
  <c r="C124" i="21"/>
  <c r="D124" i="21"/>
  <c r="D125" i="21"/>
  <c r="D126" i="21"/>
  <c r="D127" i="21"/>
  <c r="E124" i="21"/>
  <c r="F124" i="21"/>
  <c r="G124" i="21"/>
  <c r="G125" i="21"/>
  <c r="G126" i="21"/>
  <c r="B125" i="21"/>
  <c r="C125" i="21"/>
  <c r="E125" i="21"/>
  <c r="E126" i="21"/>
  <c r="F125" i="21"/>
  <c r="F127" i="21" s="1"/>
  <c r="F126" i="21"/>
  <c r="B126" i="21"/>
  <c r="B127" i="21"/>
  <c r="C126" i="21"/>
  <c r="D132" i="21"/>
  <c r="E132" i="21"/>
  <c r="B133" i="21"/>
  <c r="D134" i="21"/>
  <c r="E134" i="21"/>
  <c r="J134" i="21"/>
  <c r="K134" i="21"/>
  <c r="B140" i="21"/>
  <c r="C140" i="21"/>
  <c r="D140" i="21"/>
  <c r="E140" i="21"/>
  <c r="F140" i="21"/>
  <c r="G140" i="21"/>
  <c r="G144" i="21" s="1"/>
  <c r="H140" i="21"/>
  <c r="B141" i="21"/>
  <c r="C141" i="21"/>
  <c r="D141" i="21"/>
  <c r="E141" i="21"/>
  <c r="E143" i="21" s="1"/>
  <c r="E142" i="21"/>
  <c r="F141" i="21"/>
  <c r="G141" i="21"/>
  <c r="G143" i="21" s="1"/>
  <c r="H141" i="21"/>
  <c r="B142" i="21"/>
  <c r="C142" i="21"/>
  <c r="D142" i="21"/>
  <c r="D143" i="21" s="1"/>
  <c r="D144" i="21" s="1"/>
  <c r="F142" i="21"/>
  <c r="G142" i="21"/>
  <c r="H142" i="21"/>
  <c r="F143" i="21"/>
  <c r="C25" i="20"/>
  <c r="D25" i="20"/>
  <c r="D79" i="18" s="1"/>
  <c r="E25" i="20"/>
  <c r="E29" i="20" s="1"/>
  <c r="E102" i="18" s="1"/>
  <c r="G25" i="20"/>
  <c r="G79" i="18" s="1"/>
  <c r="H25" i="20"/>
  <c r="H29" i="20" s="1"/>
  <c r="I32" i="19"/>
  <c r="I34" i="19"/>
  <c r="E38" i="18"/>
  <c r="D38" i="18"/>
  <c r="K41" i="18"/>
  <c r="K43" i="18"/>
  <c r="K47" i="18"/>
  <c r="K65" i="18"/>
  <c r="K67" i="18"/>
  <c r="K68" i="18"/>
  <c r="K70" i="18"/>
  <c r="K71" i="18"/>
  <c r="K87" i="18"/>
  <c r="K88" i="18"/>
  <c r="K90" i="18"/>
  <c r="K94" i="18"/>
  <c r="G4" i="17"/>
  <c r="G5" i="17"/>
  <c r="G9" i="17"/>
  <c r="F5" i="15"/>
  <c r="F6" i="15"/>
  <c r="F14" i="15" s="1"/>
  <c r="F7" i="15"/>
  <c r="F8" i="15"/>
  <c r="F9" i="15"/>
  <c r="F11" i="15"/>
  <c r="F12" i="15"/>
  <c r="F13" i="15"/>
  <c r="B14" i="15"/>
  <c r="C14" i="15"/>
  <c r="D14" i="15"/>
  <c r="E14" i="15"/>
  <c r="G14" i="15"/>
  <c r="H14" i="15"/>
  <c r="I14" i="15"/>
  <c r="J14" i="15"/>
  <c r="K14" i="15"/>
  <c r="F17" i="15"/>
  <c r="F25" i="15" s="1"/>
  <c r="F18" i="15"/>
  <c r="F19" i="15"/>
  <c r="F20" i="15"/>
  <c r="F21" i="15"/>
  <c r="F22" i="15"/>
  <c r="F24" i="15"/>
  <c r="F28" i="15"/>
  <c r="F29" i="15"/>
  <c r="C21" i="15"/>
  <c r="C25" i="15" s="1"/>
  <c r="J21" i="15"/>
  <c r="J25" i="15" s="1"/>
  <c r="J30" i="15"/>
  <c r="K21" i="15"/>
  <c r="K25" i="15" s="1"/>
  <c r="B25" i="15"/>
  <c r="C30" i="15"/>
  <c r="D25" i="15"/>
  <c r="D32" i="15" s="1"/>
  <c r="E25" i="15"/>
  <c r="E32" i="15" s="1"/>
  <c r="G25" i="15"/>
  <c r="H25" i="15"/>
  <c r="I25" i="15"/>
  <c r="B30" i="15"/>
  <c r="B32" i="15" s="1"/>
  <c r="D30" i="15"/>
  <c r="E30" i="15"/>
  <c r="G30" i="15"/>
  <c r="G32" i="15" s="1"/>
  <c r="H30" i="15"/>
  <c r="I30" i="15"/>
  <c r="K30" i="15"/>
  <c r="I32" i="15"/>
  <c r="J4" i="14"/>
  <c r="K4" i="14"/>
  <c r="D7" i="14"/>
  <c r="E7" i="14"/>
  <c r="F7" i="14"/>
  <c r="G7" i="14"/>
  <c r="H7" i="14"/>
  <c r="I7" i="14"/>
  <c r="J7" i="14"/>
  <c r="K7" i="14"/>
  <c r="D9" i="14"/>
  <c r="E9" i="14"/>
  <c r="F9" i="14"/>
  <c r="G9" i="14"/>
  <c r="H9" i="14"/>
  <c r="I9" i="14"/>
  <c r="J9" i="14"/>
  <c r="K9" i="14"/>
  <c r="L9" i="14"/>
  <c r="D10" i="14"/>
  <c r="E10" i="14"/>
  <c r="F10" i="14"/>
  <c r="G10" i="14"/>
  <c r="H10" i="14"/>
  <c r="I10" i="14"/>
  <c r="J10" i="14"/>
  <c r="K10" i="14"/>
  <c r="D11" i="14"/>
  <c r="E11" i="14"/>
  <c r="F11" i="14"/>
  <c r="G11" i="14"/>
  <c r="H11" i="14"/>
  <c r="I11" i="14"/>
  <c r="J11" i="14"/>
  <c r="K11" i="14"/>
  <c r="D13" i="14"/>
  <c r="E13" i="14"/>
  <c r="F13" i="14"/>
  <c r="G13" i="14"/>
  <c r="H13" i="14"/>
  <c r="I13" i="14"/>
  <c r="J13" i="14"/>
  <c r="K13" i="14"/>
  <c r="D15" i="14"/>
  <c r="K15" i="14"/>
  <c r="M20" i="14"/>
  <c r="M21" i="14"/>
  <c r="M22" i="14"/>
  <c r="H23" i="14"/>
  <c r="M23" i="14"/>
  <c r="H25" i="14"/>
  <c r="M25" i="14"/>
  <c r="K27" i="14"/>
  <c r="I36" i="22"/>
  <c r="K36" i="22"/>
  <c r="C67" i="21"/>
  <c r="J114" i="21"/>
  <c r="J93" i="21"/>
  <c r="M71" i="2"/>
  <c r="M70" i="2"/>
  <c r="M44" i="2"/>
  <c r="I75" i="2"/>
  <c r="H74" i="2"/>
  <c r="I71" i="2"/>
  <c r="I45" i="2"/>
  <c r="M25" i="2"/>
  <c r="M47" i="2"/>
  <c r="M46" i="2"/>
  <c r="M20" i="2"/>
  <c r="M19" i="2"/>
  <c r="K49" i="2"/>
  <c r="H49" i="2"/>
  <c r="H71" i="2"/>
  <c r="H18" i="20"/>
  <c r="I19" i="2"/>
  <c r="K45" i="2"/>
  <c r="M50" i="2"/>
  <c r="M22" i="2"/>
  <c r="I50" i="2"/>
  <c r="H24" i="2"/>
  <c r="K71" i="2"/>
  <c r="J44" i="2"/>
  <c r="M75" i="2"/>
  <c r="K74" i="2"/>
  <c r="K24" i="2"/>
  <c r="I25" i="2"/>
  <c r="J71" i="2"/>
  <c r="K69" i="2"/>
  <c r="H75" i="2"/>
  <c r="H50" i="2"/>
  <c r="H25" i="2"/>
  <c r="K47" i="2"/>
  <c r="J47" i="2"/>
  <c r="I47" i="2"/>
  <c r="H47" i="2"/>
  <c r="K46" i="2"/>
  <c r="J46" i="2"/>
  <c r="I46" i="2"/>
  <c r="H46" i="2"/>
  <c r="H69" i="2"/>
  <c r="I18" i="20"/>
  <c r="J19" i="2"/>
  <c r="K44" i="2"/>
  <c r="K20" i="2"/>
  <c r="J70" i="2"/>
  <c r="I20" i="2"/>
  <c r="H70" i="2"/>
  <c r="K75" i="2"/>
  <c r="K50" i="2"/>
  <c r="K25" i="2"/>
  <c r="J74" i="2"/>
  <c r="J49" i="2"/>
  <c r="J24" i="2"/>
  <c r="K22" i="2"/>
  <c r="J22" i="2"/>
  <c r="I22" i="2"/>
  <c r="H22" i="2"/>
  <c r="K21" i="2"/>
  <c r="J21" i="2"/>
  <c r="I21" i="2"/>
  <c r="H21" i="2"/>
  <c r="E18" i="20"/>
  <c r="H44" i="2"/>
  <c r="I69" i="2"/>
  <c r="K19" i="2"/>
  <c r="J45" i="2"/>
  <c r="H45" i="2"/>
  <c r="M74" i="2"/>
  <c r="M49" i="2"/>
  <c r="M24" i="2"/>
  <c r="M21" i="2"/>
  <c r="M45" i="2"/>
  <c r="M69" i="2"/>
  <c r="J75" i="2"/>
  <c r="J50" i="2"/>
  <c r="J25" i="2"/>
  <c r="I74" i="2"/>
  <c r="I49" i="2"/>
  <c r="I24" i="2"/>
  <c r="H19" i="2"/>
  <c r="I44" i="2"/>
  <c r="J69" i="2"/>
  <c r="K70" i="2"/>
  <c r="J20" i="2"/>
  <c r="I70" i="2"/>
  <c r="H20" i="2"/>
  <c r="M64" i="2"/>
  <c r="H48" i="2"/>
  <c r="H11" i="20"/>
  <c r="H31" i="18" s="1"/>
  <c r="I11" i="20"/>
  <c r="H23" i="2"/>
  <c r="D11" i="20"/>
  <c r="D31" i="18" s="1"/>
  <c r="M48" i="2"/>
  <c r="H73" i="2"/>
  <c r="E11" i="20"/>
  <c r="E12" i="20" s="1"/>
  <c r="M23" i="2"/>
  <c r="B11" i="20"/>
  <c r="B12" i="20" s="1"/>
  <c r="M73" i="2"/>
  <c r="J11" i="20"/>
  <c r="J31" i="18" s="1"/>
  <c r="G9" i="2"/>
  <c r="J25" i="20"/>
  <c r="J48" i="20" s="1"/>
  <c r="I23" i="2"/>
  <c r="J23" i="2"/>
  <c r="K23" i="2"/>
  <c r="I48" i="2"/>
  <c r="J48" i="2"/>
  <c r="K48" i="2"/>
  <c r="I73" i="2"/>
  <c r="J73" i="2"/>
  <c r="K73" i="2"/>
  <c r="D16" i="2" l="1"/>
  <c r="L73" i="2"/>
  <c r="F56" i="18"/>
  <c r="G127" i="21"/>
  <c r="G128" i="21" s="1"/>
  <c r="K66" i="21"/>
  <c r="K132" i="21" s="1"/>
  <c r="B143" i="21"/>
  <c r="B144" i="21" s="1"/>
  <c r="G135" i="21"/>
  <c r="F60" i="21"/>
  <c r="B48" i="21"/>
  <c r="H143" i="21"/>
  <c r="H144" i="21" s="1"/>
  <c r="B134" i="21"/>
  <c r="E42" i="21"/>
  <c r="K61" i="21"/>
  <c r="C54" i="21"/>
  <c r="H54" i="21"/>
  <c r="F51" i="21"/>
  <c r="K77" i="21"/>
  <c r="L75" i="21"/>
  <c r="I39" i="22"/>
  <c r="K14" i="22"/>
  <c r="K18" i="22" s="1"/>
  <c r="K25" i="22" s="1"/>
  <c r="K47" i="22" s="1"/>
  <c r="K49" i="22" s="1"/>
  <c r="K50" i="22" s="1"/>
  <c r="K27" i="22" s="1"/>
  <c r="E38" i="22"/>
  <c r="K38" i="22" s="1"/>
  <c r="C21" i="19"/>
  <c r="C29" i="19" s="1"/>
  <c r="C36" i="19" s="1"/>
  <c r="I17" i="19"/>
  <c r="G21" i="19"/>
  <c r="G29" i="19" s="1"/>
  <c r="G36" i="19" s="1"/>
  <c r="I21" i="19"/>
  <c r="I26" i="19"/>
  <c r="H48" i="20"/>
  <c r="F5" i="20"/>
  <c r="K36" i="20"/>
  <c r="K32" i="20"/>
  <c r="B18" i="20"/>
  <c r="D12" i="20"/>
  <c r="K41" i="20"/>
  <c r="K47" i="20"/>
  <c r="L12" i="20"/>
  <c r="I38" i="20"/>
  <c r="C18" i="20"/>
  <c r="D57" i="18"/>
  <c r="D66" i="18" s="1"/>
  <c r="D73" i="18" s="1"/>
  <c r="D75" i="18" s="1"/>
  <c r="D76" i="18" s="1"/>
  <c r="G37" i="20"/>
  <c r="K34" i="20"/>
  <c r="D18" i="20"/>
  <c r="D29" i="20"/>
  <c r="D102" i="18" s="1"/>
  <c r="C11" i="20"/>
  <c r="I48" i="20"/>
  <c r="J38" i="20"/>
  <c r="K50" i="20"/>
  <c r="K25" i="20"/>
  <c r="L29" i="20"/>
  <c r="L102" i="18" s="1"/>
  <c r="E32" i="18"/>
  <c r="E13" i="20"/>
  <c r="H102" i="18"/>
  <c r="E57" i="18"/>
  <c r="C31" i="18"/>
  <c r="C12" i="20"/>
  <c r="B32" i="18"/>
  <c r="F12" i="20"/>
  <c r="B13" i="20"/>
  <c r="F25" i="20"/>
  <c r="F29" i="20" s="1"/>
  <c r="H57" i="18"/>
  <c r="H66" i="18" s="1"/>
  <c r="H73" i="18" s="1"/>
  <c r="H75" i="18" s="1"/>
  <c r="H76" i="18" s="1"/>
  <c r="K48" i="20"/>
  <c r="K29" i="20"/>
  <c r="K52" i="20" s="1"/>
  <c r="E31" i="18"/>
  <c r="B31" i="18"/>
  <c r="C57" i="18"/>
  <c r="C66" i="18" s="1"/>
  <c r="C73" i="18" s="1"/>
  <c r="C75" i="18" s="1"/>
  <c r="C76" i="18" s="1"/>
  <c r="H79" i="18"/>
  <c r="H89" i="18" s="1"/>
  <c r="H97" i="18" s="1"/>
  <c r="G11" i="20"/>
  <c r="K45" i="20"/>
  <c r="L48" i="20"/>
  <c r="G18" i="20"/>
  <c r="J18" i="20"/>
  <c r="F6" i="20"/>
  <c r="K33" i="20" s="1"/>
  <c r="F17" i="20"/>
  <c r="F18" i="20" s="1"/>
  <c r="G45" i="20"/>
  <c r="H12" i="20"/>
  <c r="H33" i="20"/>
  <c r="I29" i="20"/>
  <c r="J29" i="20"/>
  <c r="K10" i="20"/>
  <c r="K37" i="20" s="1"/>
  <c r="I31" i="18"/>
  <c r="J79" i="18"/>
  <c r="J5" i="18" s="1"/>
  <c r="C29" i="20"/>
  <c r="C102" i="18" s="1"/>
  <c r="H38" i="20"/>
  <c r="I12" i="20"/>
  <c r="C79" i="18"/>
  <c r="C89" i="18" s="1"/>
  <c r="C97" i="18" s="1"/>
  <c r="C98" i="18" s="1"/>
  <c r="C99" i="18" s="1"/>
  <c r="E79" i="18"/>
  <c r="E89" i="18" s="1"/>
  <c r="B25" i="20"/>
  <c r="G29" i="20"/>
  <c r="L52" i="20" s="1"/>
  <c r="J12" i="20"/>
  <c r="K17" i="20"/>
  <c r="K18" i="20" s="1"/>
  <c r="I57" i="18"/>
  <c r="I66" i="18" s="1"/>
  <c r="I73" i="18" s="1"/>
  <c r="E6" i="18"/>
  <c r="B6" i="18"/>
  <c r="G57" i="18"/>
  <c r="E5" i="18"/>
  <c r="E7" i="18" s="1"/>
  <c r="K81" i="18"/>
  <c r="K85" i="18" s="1"/>
  <c r="K56" i="18"/>
  <c r="F95" i="18"/>
  <c r="D5" i="18"/>
  <c r="J57" i="18"/>
  <c r="J66" i="18" s="1"/>
  <c r="J73" i="18" s="1"/>
  <c r="J74" i="18" s="1"/>
  <c r="J75" i="18" s="1"/>
  <c r="J76" i="18" s="1"/>
  <c r="G89" i="18"/>
  <c r="G97" i="18" s="1"/>
  <c r="G98" i="18" s="1"/>
  <c r="G26" i="18" s="1"/>
  <c r="F38" i="18"/>
  <c r="E33" i="18"/>
  <c r="E42" i="18" s="1"/>
  <c r="E49" i="18" s="1"/>
  <c r="E51" i="18" s="1"/>
  <c r="E52" i="18" s="1"/>
  <c r="B33" i="18"/>
  <c r="B42" i="18" s="1"/>
  <c r="B49" i="18" s="1"/>
  <c r="B57" i="18"/>
  <c r="B42" i="21"/>
  <c r="D4" i="14"/>
  <c r="B118" i="21"/>
  <c r="B115" i="21"/>
  <c r="D27" i="14" s="1"/>
  <c r="D42" i="21"/>
  <c r="F4" i="14"/>
  <c r="D39" i="21"/>
  <c r="F15" i="14" s="1"/>
  <c r="K34" i="21"/>
  <c r="M9" i="14"/>
  <c r="E115" i="21"/>
  <c r="G27" i="14" s="1"/>
  <c r="E118" i="21"/>
  <c r="K8" i="21"/>
  <c r="K18" i="21" s="1"/>
  <c r="E144" i="21"/>
  <c r="D128" i="21"/>
  <c r="K88" i="21"/>
  <c r="K52" i="21"/>
  <c r="J8" i="21"/>
  <c r="G4" i="14"/>
  <c r="E127" i="21"/>
  <c r="E128" i="21" s="1"/>
  <c r="B128" i="21"/>
  <c r="J112" i="21"/>
  <c r="F61" i="21"/>
  <c r="K51" i="21"/>
  <c r="C48" i="21"/>
  <c r="K29" i="21"/>
  <c r="K126" i="21" s="1"/>
  <c r="F59" i="21"/>
  <c r="J54" i="21"/>
  <c r="J58" i="21" s="1"/>
  <c r="J65" i="21" s="1"/>
  <c r="H128" i="21"/>
  <c r="H27" i="21" s="1"/>
  <c r="F144" i="21"/>
  <c r="C143" i="21"/>
  <c r="B135" i="21"/>
  <c r="C127" i="21"/>
  <c r="C128" i="21" s="1"/>
  <c r="H65" i="21"/>
  <c r="H133" i="21" s="1"/>
  <c r="H135" i="21" s="1"/>
  <c r="H136" i="21" s="1"/>
  <c r="H67" i="21" s="1"/>
  <c r="J32" i="21"/>
  <c r="K93" i="21"/>
  <c r="H4" i="14"/>
  <c r="F39" i="21"/>
  <c r="H15" i="14" s="1"/>
  <c r="C144" i="21"/>
  <c r="F128" i="21"/>
  <c r="C115" i="21"/>
  <c r="K140" i="21"/>
  <c r="J75" i="21"/>
  <c r="K75" i="21" s="1"/>
  <c r="J132" i="21"/>
  <c r="B68" i="21"/>
  <c r="B70" i="21" s="1"/>
  <c r="B82" i="21" s="1"/>
  <c r="B132" i="21"/>
  <c r="B136" i="21" s="1"/>
  <c r="C135" i="21"/>
  <c r="C136" i="21" s="1"/>
  <c r="B54" i="21"/>
  <c r="F52" i="21"/>
  <c r="F77" i="21" s="1"/>
  <c r="K32" i="21"/>
  <c r="L18" i="21"/>
  <c r="L25" i="21" s="1"/>
  <c r="K64" i="21"/>
  <c r="G76" i="21"/>
  <c r="K76" i="21" s="1"/>
  <c r="F118" i="21"/>
  <c r="J88" i="21"/>
  <c r="J97" i="21" s="1"/>
  <c r="G68" i="21"/>
  <c r="G108" i="21"/>
  <c r="K50" i="21"/>
  <c r="G54" i="21"/>
  <c r="K10" i="21"/>
  <c r="J14" i="21"/>
  <c r="L97" i="21"/>
  <c r="L103" i="21" s="1"/>
  <c r="C30" i="21"/>
  <c r="C70" i="21" s="1"/>
  <c r="C68" i="21"/>
  <c r="F42" i="21"/>
  <c r="D115" i="21"/>
  <c r="F27" i="14" s="1"/>
  <c r="D118" i="21"/>
  <c r="F54" i="21"/>
  <c r="F58" i="21" s="1"/>
  <c r="F65" i="21" s="1"/>
  <c r="F68" i="21" s="1"/>
  <c r="F70" i="21" s="1"/>
  <c r="I4" i="14"/>
  <c r="G42" i="21"/>
  <c r="G39" i="21"/>
  <c r="I15" i="14" s="1"/>
  <c r="J124" i="21"/>
  <c r="J36" i="21"/>
  <c r="K26" i="21"/>
  <c r="J37" i="21"/>
  <c r="L7" i="14"/>
  <c r="K12" i="21"/>
  <c r="F48" i="21"/>
  <c r="L65" i="21"/>
  <c r="L68" i="21" s="1"/>
  <c r="L70" i="21" s="1"/>
  <c r="G132" i="21"/>
  <c r="G136" i="21" s="1"/>
  <c r="H106" i="21"/>
  <c r="F30" i="15"/>
  <c r="K32" i="15"/>
  <c r="H32" i="15"/>
  <c r="J32" i="15"/>
  <c r="F32" i="15"/>
  <c r="C32" i="15"/>
  <c r="J20" i="18"/>
  <c r="K20" i="18" s="1"/>
  <c r="J15" i="18"/>
  <c r="K15" i="18" s="1"/>
  <c r="I5" i="18"/>
  <c r="L5" i="18"/>
  <c r="L66" i="18"/>
  <c r="L73" i="18" s="1"/>
  <c r="L75" i="18" s="1"/>
  <c r="L76" i="18" s="1"/>
  <c r="F55" i="18"/>
  <c r="F57" i="18" s="1"/>
  <c r="K95" i="18"/>
  <c r="K55" i="18"/>
  <c r="D89" i="18"/>
  <c r="D97" i="18" s="1"/>
  <c r="D98" i="18" s="1"/>
  <c r="D99" i="18" s="1"/>
  <c r="I89" i="18"/>
  <c r="I97" i="18" s="1"/>
  <c r="I98" i="18" s="1"/>
  <c r="I99" i="18" s="1"/>
  <c r="L89" i="18"/>
  <c r="M26" i="2"/>
  <c r="L23" i="2"/>
  <c r="H14" i="2"/>
  <c r="D14" i="2"/>
  <c r="H26" i="2"/>
  <c r="L19" i="2"/>
  <c r="L22" i="2"/>
  <c r="I26" i="2"/>
  <c r="D65" i="2"/>
  <c r="D66" i="2" s="1"/>
  <c r="K51" i="2"/>
  <c r="L24" i="2"/>
  <c r="L47" i="2"/>
  <c r="K65" i="2"/>
  <c r="K66" i="2" s="1"/>
  <c r="L75" i="2"/>
  <c r="L71" i="2"/>
  <c r="I14" i="2"/>
  <c r="E64" i="2"/>
  <c r="J76" i="2"/>
  <c r="L74" i="2"/>
  <c r="L70" i="2"/>
  <c r="L25" i="2"/>
  <c r="L21" i="2"/>
  <c r="J64" i="2"/>
  <c r="C39" i="2"/>
  <c r="M76" i="2"/>
  <c r="J26" i="2"/>
  <c r="E16" i="2"/>
  <c r="C64" i="2"/>
  <c r="M51" i="2"/>
  <c r="L50" i="2"/>
  <c r="L62" i="2"/>
  <c r="L64" i="2" s="1"/>
  <c r="J65" i="2"/>
  <c r="J66" i="2" s="1"/>
  <c r="I76" i="2"/>
  <c r="J39" i="2"/>
  <c r="L69" i="2"/>
  <c r="F64" i="2"/>
  <c r="M39" i="2"/>
  <c r="L20" i="2"/>
  <c r="J41" i="2"/>
  <c r="L48" i="2"/>
  <c r="L44" i="2"/>
  <c r="J51" i="2"/>
  <c r="H51" i="2"/>
  <c r="L46" i="2"/>
  <c r="L37" i="2"/>
  <c r="L39" i="2" s="1"/>
  <c r="K14" i="2"/>
  <c r="C14" i="2"/>
  <c r="K41" i="2"/>
  <c r="I39" i="2"/>
  <c r="F39" i="2"/>
  <c r="J16" i="2"/>
  <c r="G12" i="2"/>
  <c r="G14" i="2" s="1"/>
  <c r="M41" i="2"/>
  <c r="G62" i="2"/>
  <c r="F66" i="2"/>
  <c r="K39" i="2"/>
  <c r="I51" i="2"/>
  <c r="J14" i="2"/>
  <c r="H64" i="2"/>
  <c r="L12" i="2"/>
  <c r="I65" i="2"/>
  <c r="I66" i="2" s="1"/>
  <c r="C41" i="2"/>
  <c r="H65" i="2"/>
  <c r="K76" i="2"/>
  <c r="E14" i="2"/>
  <c r="I16" i="2"/>
  <c r="K16" i="2"/>
  <c r="F16" i="2"/>
  <c r="K26" i="2"/>
  <c r="F14" i="2"/>
  <c r="L15" i="2"/>
  <c r="B79" i="21"/>
  <c r="D68" i="21"/>
  <c r="D70" i="21" s="1"/>
  <c r="D133" i="21"/>
  <c r="D135" i="21" s="1"/>
  <c r="D136" i="21" s="1"/>
  <c r="D67" i="21"/>
  <c r="L133" i="21"/>
  <c r="L135" i="21" s="1"/>
  <c r="L136" i="21" s="1"/>
  <c r="L67" i="21" s="1"/>
  <c r="E68" i="21"/>
  <c r="E70" i="21" s="1"/>
  <c r="E133" i="21"/>
  <c r="E135" i="21" s="1"/>
  <c r="J133" i="21"/>
  <c r="J135" i="21" s="1"/>
  <c r="J68" i="21"/>
  <c r="J70" i="21" s="1"/>
  <c r="K65" i="21"/>
  <c r="F85" i="18"/>
  <c r="L97" i="18"/>
  <c r="L99" i="18" s="1"/>
  <c r="L100" i="18" s="1"/>
  <c r="E97" i="18"/>
  <c r="E98" i="18" s="1"/>
  <c r="E26" i="18" s="1"/>
  <c r="K72" i="18"/>
  <c r="F72" i="18"/>
  <c r="F19" i="18"/>
  <c r="E66" i="18"/>
  <c r="E73" i="18" s="1"/>
  <c r="E75" i="18" s="1"/>
  <c r="E76" i="18" s="1"/>
  <c r="B66" i="18"/>
  <c r="B73" i="18" s="1"/>
  <c r="B75" i="18" s="1"/>
  <c r="B76" i="18" s="1"/>
  <c r="K62" i="18"/>
  <c r="K21" i="18"/>
  <c r="G66" i="18"/>
  <c r="G73" i="18" s="1"/>
  <c r="G75" i="18" s="1"/>
  <c r="G76" i="18" s="1"/>
  <c r="F62" i="18"/>
  <c r="C13" i="18"/>
  <c r="D13" i="18"/>
  <c r="K11" i="18"/>
  <c r="F21" i="18"/>
  <c r="K10" i="18"/>
  <c r="I13" i="18"/>
  <c r="F11" i="18"/>
  <c r="E13" i="18"/>
  <c r="F9" i="18"/>
  <c r="H13" i="18"/>
  <c r="F48" i="18"/>
  <c r="F20" i="18"/>
  <c r="K19" i="18"/>
  <c r="K9" i="18"/>
  <c r="D23" i="18"/>
  <c r="K48" i="18"/>
  <c r="J13" i="18"/>
  <c r="L13" i="18"/>
  <c r="B13" i="18"/>
  <c r="K38" i="18"/>
  <c r="B23" i="18"/>
  <c r="G13" i="18"/>
  <c r="J23" i="18"/>
  <c r="K23" i="18" s="1"/>
  <c r="F10" i="18"/>
  <c r="E23" i="18"/>
  <c r="F15" i="18"/>
  <c r="K28" i="22"/>
  <c r="K30" i="22" s="1"/>
  <c r="B28" i="22"/>
  <c r="B30" i="22" s="1"/>
  <c r="B47" i="22"/>
  <c r="B49" i="22" s="1"/>
  <c r="B50" i="22" s="1"/>
  <c r="B27" i="22" s="1"/>
  <c r="C15" i="2"/>
  <c r="H40" i="2"/>
  <c r="H41" i="2" s="1"/>
  <c r="M15" i="2"/>
  <c r="E40" i="2"/>
  <c r="E41" i="2" s="1"/>
  <c r="G37" i="2"/>
  <c r="D40" i="2"/>
  <c r="D41" i="2" s="1"/>
  <c r="H76" i="2"/>
  <c r="H16" i="2"/>
  <c r="C5" i="18" l="1"/>
  <c r="J136" i="21"/>
  <c r="J67" i="21" s="1"/>
  <c r="F133" i="21"/>
  <c r="F135" i="21" s="1"/>
  <c r="F136" i="21" s="1"/>
  <c r="K54" i="21"/>
  <c r="K58" i="21" s="1"/>
  <c r="J18" i="21"/>
  <c r="J25" i="21" s="1"/>
  <c r="L79" i="21"/>
  <c r="I29" i="19"/>
  <c r="I36" i="19" s="1"/>
  <c r="C103" i="18"/>
  <c r="C100" i="18"/>
  <c r="K79" i="18"/>
  <c r="F31" i="18"/>
  <c r="K57" i="18"/>
  <c r="K66" i="18" s="1"/>
  <c r="H5" i="18"/>
  <c r="D32" i="18"/>
  <c r="D13" i="20"/>
  <c r="L32" i="18"/>
  <c r="L13" i="20"/>
  <c r="I102" i="18"/>
  <c r="I103" i="18" s="1"/>
  <c r="I52" i="20"/>
  <c r="J89" i="18"/>
  <c r="J97" i="18" s="1"/>
  <c r="J98" i="18" s="1"/>
  <c r="J99" i="18" s="1"/>
  <c r="J100" i="18" s="1"/>
  <c r="J32" i="18"/>
  <c r="J13" i="20"/>
  <c r="I13" i="20"/>
  <c r="I32" i="18"/>
  <c r="G31" i="18"/>
  <c r="K31" i="18" s="1"/>
  <c r="L38" i="20"/>
  <c r="G38" i="20"/>
  <c r="G12" i="20"/>
  <c r="B79" i="18"/>
  <c r="B29" i="20"/>
  <c r="B102" i="18" s="1"/>
  <c r="F102" i="18" s="1"/>
  <c r="F13" i="20"/>
  <c r="G102" i="18"/>
  <c r="H32" i="18"/>
  <c r="H13" i="20"/>
  <c r="K11" i="20"/>
  <c r="C13" i="20"/>
  <c r="C32" i="18"/>
  <c r="F11" i="20"/>
  <c r="G48" i="20"/>
  <c r="J102" i="18"/>
  <c r="J52" i="20"/>
  <c r="H52" i="20"/>
  <c r="F67" i="21"/>
  <c r="C79" i="21"/>
  <c r="C82" i="21"/>
  <c r="J125" i="21"/>
  <c r="J127" i="21" s="1"/>
  <c r="K25" i="21"/>
  <c r="J28" i="21"/>
  <c r="J30" i="21" s="1"/>
  <c r="H108" i="21"/>
  <c r="H68" i="21"/>
  <c r="H70" i="21" s="1"/>
  <c r="M7" i="14"/>
  <c r="K37" i="21"/>
  <c r="J103" i="21"/>
  <c r="K97" i="21"/>
  <c r="K103" i="21" s="1"/>
  <c r="L27" i="21"/>
  <c r="L28" i="21"/>
  <c r="L30" i="21" s="1"/>
  <c r="L125" i="21"/>
  <c r="L127" i="21" s="1"/>
  <c r="L128" i="21" s="1"/>
  <c r="J128" i="21"/>
  <c r="J27" i="21" s="1"/>
  <c r="L141" i="21"/>
  <c r="L143" i="21" s="1"/>
  <c r="L144" i="21" s="1"/>
  <c r="L105" i="21"/>
  <c r="L106" i="21"/>
  <c r="L108" i="21" s="1"/>
  <c r="K36" i="21"/>
  <c r="K124" i="21"/>
  <c r="M10" i="14"/>
  <c r="E4" i="14"/>
  <c r="C42" i="21"/>
  <c r="C39" i="21"/>
  <c r="E15" i="14" s="1"/>
  <c r="G118" i="21"/>
  <c r="G70" i="21"/>
  <c r="G115" i="21"/>
  <c r="I27" i="14" s="1"/>
  <c r="G65" i="2"/>
  <c r="G66" i="2" s="1"/>
  <c r="L16" i="2"/>
  <c r="L26" i="2"/>
  <c r="L14" i="2"/>
  <c r="L76" i="2"/>
  <c r="G64" i="2"/>
  <c r="L65" i="2"/>
  <c r="L66" i="2" s="1"/>
  <c r="H66" i="2"/>
  <c r="K133" i="21"/>
  <c r="K135" i="21" s="1"/>
  <c r="K136" i="21" s="1"/>
  <c r="K67" i="21" s="1"/>
  <c r="K68" i="21"/>
  <c r="K70" i="21" s="1"/>
  <c r="F79" i="21"/>
  <c r="F82" i="21"/>
  <c r="D82" i="21"/>
  <c r="D79" i="21"/>
  <c r="E79" i="21"/>
  <c r="E82" i="21"/>
  <c r="J79" i="21"/>
  <c r="J82" i="21"/>
  <c r="L103" i="18"/>
  <c r="G99" i="18"/>
  <c r="G100" i="18" s="1"/>
  <c r="I100" i="18"/>
  <c r="D103" i="18"/>
  <c r="D100" i="18"/>
  <c r="D26" i="18"/>
  <c r="F98" i="18"/>
  <c r="K97" i="18"/>
  <c r="H98" i="18"/>
  <c r="E99" i="18"/>
  <c r="K73" i="18"/>
  <c r="F73" i="18"/>
  <c r="F75" i="18" s="1"/>
  <c r="F76" i="18" s="1"/>
  <c r="I74" i="18"/>
  <c r="K74" i="18" s="1"/>
  <c r="F66" i="18"/>
  <c r="E17" i="18"/>
  <c r="K13" i="18"/>
  <c r="F13" i="18"/>
  <c r="F23" i="18"/>
  <c r="B50" i="18"/>
  <c r="B51" i="18" s="1"/>
  <c r="B52" i="18" s="1"/>
  <c r="B39" i="22"/>
  <c r="B42" i="22"/>
  <c r="K42" i="22"/>
  <c r="K39" i="22"/>
  <c r="G15" i="2"/>
  <c r="C16" i="2"/>
  <c r="L40" i="2"/>
  <c r="G39" i="2"/>
  <c r="L51" i="2"/>
  <c r="M16" i="2"/>
  <c r="G40" i="2"/>
  <c r="G41" i="2" s="1"/>
  <c r="J103" i="18" l="1"/>
  <c r="K89" i="18"/>
  <c r="L6" i="18"/>
  <c r="L7" i="18" s="1"/>
  <c r="L17" i="18" s="1"/>
  <c r="L25" i="18" s="1"/>
  <c r="L27" i="18" s="1"/>
  <c r="L28" i="18" s="1"/>
  <c r="L33" i="18"/>
  <c r="L42" i="18" s="1"/>
  <c r="L49" i="18" s="1"/>
  <c r="L51" i="18" s="1"/>
  <c r="L52" i="18" s="1"/>
  <c r="D33" i="18"/>
  <c r="D42" i="18" s="1"/>
  <c r="D49" i="18" s="1"/>
  <c r="D51" i="18" s="1"/>
  <c r="D52" i="18" s="1"/>
  <c r="D6" i="18"/>
  <c r="D7" i="18" s="1"/>
  <c r="D17" i="18" s="1"/>
  <c r="D25" i="18" s="1"/>
  <c r="D27" i="18" s="1"/>
  <c r="D28" i="18" s="1"/>
  <c r="G13" i="20"/>
  <c r="K12" i="20"/>
  <c r="K13" i="20" s="1"/>
  <c r="G32" i="18"/>
  <c r="K102" i="18"/>
  <c r="I6" i="18"/>
  <c r="I7" i="18" s="1"/>
  <c r="I17" i="18" s="1"/>
  <c r="I25" i="18" s="1"/>
  <c r="I33" i="18"/>
  <c r="I42" i="18" s="1"/>
  <c r="I49" i="18" s="1"/>
  <c r="I50" i="18" s="1"/>
  <c r="C6" i="18"/>
  <c r="F32" i="18"/>
  <c r="F33" i="18" s="1"/>
  <c r="C33" i="18"/>
  <c r="C42" i="18" s="1"/>
  <c r="H33" i="18"/>
  <c r="H42" i="18" s="1"/>
  <c r="H49" i="18" s="1"/>
  <c r="H51" i="18" s="1"/>
  <c r="H52" i="18" s="1"/>
  <c r="H6" i="18"/>
  <c r="H7" i="18" s="1"/>
  <c r="H17" i="18" s="1"/>
  <c r="H25" i="18" s="1"/>
  <c r="J6" i="18"/>
  <c r="J7" i="18" s="1"/>
  <c r="J17" i="18" s="1"/>
  <c r="J25" i="18" s="1"/>
  <c r="J33" i="18"/>
  <c r="J42" i="18" s="1"/>
  <c r="J49" i="18" s="1"/>
  <c r="K38" i="20"/>
  <c r="G52" i="20"/>
  <c r="B89" i="18"/>
  <c r="F79" i="18"/>
  <c r="G103" i="18"/>
  <c r="G5" i="18"/>
  <c r="G33" i="18"/>
  <c r="G42" i="18" s="1"/>
  <c r="B5" i="18"/>
  <c r="K141" i="21"/>
  <c r="K143" i="21" s="1"/>
  <c r="K144" i="21" s="1"/>
  <c r="K105" i="21" s="1"/>
  <c r="K106" i="21"/>
  <c r="K108" i="21" s="1"/>
  <c r="H82" i="21"/>
  <c r="H79" i="21"/>
  <c r="K28" i="21"/>
  <c r="K30" i="21" s="1"/>
  <c r="K125" i="21"/>
  <c r="K127" i="21" s="1"/>
  <c r="K128" i="21" s="1"/>
  <c r="K27" i="21" s="1"/>
  <c r="L115" i="21"/>
  <c r="L118" i="21"/>
  <c r="J106" i="21"/>
  <c r="J108" i="21" s="1"/>
  <c r="J141" i="21"/>
  <c r="J143" i="21" s="1"/>
  <c r="J144" i="21" s="1"/>
  <c r="J105" i="21" s="1"/>
  <c r="H115" i="21"/>
  <c r="J27" i="14" s="1"/>
  <c r="H118" i="21"/>
  <c r="G82" i="21"/>
  <c r="G79" i="21"/>
  <c r="L39" i="21"/>
  <c r="L42" i="21"/>
  <c r="J42" i="21"/>
  <c r="L4" i="14"/>
  <c r="J39" i="21"/>
  <c r="L15" i="14" s="1"/>
  <c r="K79" i="21"/>
  <c r="K82" i="21"/>
  <c r="E100" i="18"/>
  <c r="E103" i="18"/>
  <c r="H26" i="18"/>
  <c r="K98" i="18"/>
  <c r="K99" i="18" s="1"/>
  <c r="H99" i="18"/>
  <c r="K75" i="18"/>
  <c r="K76" i="18" s="1"/>
  <c r="I75" i="18"/>
  <c r="I76" i="18" s="1"/>
  <c r="E25" i="18"/>
  <c r="B26" i="18"/>
  <c r="G16" i="2"/>
  <c r="L41" i="2"/>
  <c r="K5" i="18" l="1"/>
  <c r="C7" i="18"/>
  <c r="C17" i="18" s="1"/>
  <c r="C25" i="18" s="1"/>
  <c r="F6" i="18"/>
  <c r="H27" i="18"/>
  <c r="H28" i="18" s="1"/>
  <c r="I51" i="18"/>
  <c r="I52" i="18" s="1"/>
  <c r="I26" i="18"/>
  <c r="G6" i="18"/>
  <c r="K6" i="18" s="1"/>
  <c r="K32" i="18"/>
  <c r="K33" i="18" s="1"/>
  <c r="F5" i="18"/>
  <c r="B7" i="18"/>
  <c r="B17" i="18" s="1"/>
  <c r="J50" i="18"/>
  <c r="J26" i="18" s="1"/>
  <c r="J27" i="18" s="1"/>
  <c r="J28" i="18" s="1"/>
  <c r="C49" i="18"/>
  <c r="F42" i="18"/>
  <c r="F49" i="18" s="1"/>
  <c r="G49" i="18"/>
  <c r="G51" i="18" s="1"/>
  <c r="G52" i="18" s="1"/>
  <c r="K42" i="18"/>
  <c r="K49" i="18" s="1"/>
  <c r="B97" i="18"/>
  <c r="F89" i="18"/>
  <c r="K118" i="21"/>
  <c r="K115" i="21"/>
  <c r="M27" i="14" s="1"/>
  <c r="M4" i="14"/>
  <c r="K39" i="21"/>
  <c r="M15" i="14" s="1"/>
  <c r="K42" i="21"/>
  <c r="J115" i="21"/>
  <c r="L27" i="14" s="1"/>
  <c r="J118" i="21"/>
  <c r="K103" i="18"/>
  <c r="K100" i="18"/>
  <c r="H100" i="18"/>
  <c r="H103" i="18"/>
  <c r="E27" i="18"/>
  <c r="E28" i="18" s="1"/>
  <c r="F7" i="18" l="1"/>
  <c r="K50" i="18"/>
  <c r="J51" i="18"/>
  <c r="J52" i="18" s="1"/>
  <c r="K7" i="18"/>
  <c r="B99" i="18"/>
  <c r="F97" i="18"/>
  <c r="F99" i="18" s="1"/>
  <c r="K51" i="18"/>
  <c r="K52" i="18" s="1"/>
  <c r="C50" i="18"/>
  <c r="C51" i="18" s="1"/>
  <c r="C52" i="18" s="1"/>
  <c r="K26" i="18"/>
  <c r="I27" i="18"/>
  <c r="I28" i="18" s="1"/>
  <c r="B25" i="18"/>
  <c r="F17" i="18"/>
  <c r="G7" i="18"/>
  <c r="G17" i="18" s="1"/>
  <c r="G25" i="18" l="1"/>
  <c r="K17" i="18"/>
  <c r="F100" i="18"/>
  <c r="F103" i="18"/>
  <c r="F25" i="18"/>
  <c r="B27" i="18"/>
  <c r="B28" i="18" s="1"/>
  <c r="C26" i="18"/>
  <c r="F50" i="18"/>
  <c r="F51" i="18" s="1"/>
  <c r="F52" i="18" s="1"/>
  <c r="B100" i="18"/>
  <c r="B103" i="18"/>
  <c r="F26" i="18" l="1"/>
  <c r="F27" i="18" s="1"/>
  <c r="F28" i="18" s="1"/>
  <c r="C27" i="18"/>
  <c r="C28" i="18" s="1"/>
  <c r="G27" i="18"/>
  <c r="G28" i="18" s="1"/>
  <c r="K25" i="18"/>
  <c r="K27" i="18" s="1"/>
  <c r="K28" i="18" s="1"/>
</calcChain>
</file>

<file path=xl/sharedStrings.xml><?xml version="1.0" encoding="utf-8"?>
<sst xmlns="http://schemas.openxmlformats.org/spreadsheetml/2006/main" count="838" uniqueCount="248">
  <si>
    <t>Q1 2017</t>
  </si>
  <si>
    <t>Q2 2017</t>
  </si>
  <si>
    <t>Total Revenue</t>
  </si>
  <si>
    <t>Total costs and expenses</t>
  </si>
  <si>
    <t>Gain on disposition of real estate</t>
  </si>
  <si>
    <t>Operating income</t>
  </si>
  <si>
    <t>Other income</t>
  </si>
  <si>
    <t>EBITDA</t>
  </si>
  <si>
    <t>Adjusted EBITDA</t>
  </si>
  <si>
    <t>Americas</t>
  </si>
  <si>
    <t>EMEA</t>
  </si>
  <si>
    <t>Valuation</t>
  </si>
  <si>
    <t>Total Fee Revenue</t>
  </si>
  <si>
    <t>Pass through costs also recognized as revenue</t>
  </si>
  <si>
    <t>Asia Pacific</t>
  </si>
  <si>
    <t>Carried Interest</t>
  </si>
  <si>
    <t>Interest income</t>
  </si>
  <si>
    <t>Interest expense</t>
  </si>
  <si>
    <t>Adjusted Consolidated</t>
  </si>
  <si>
    <t>ENTITY</t>
  </si>
  <si>
    <t>Value</t>
  </si>
  <si>
    <t>&lt;Entity Curr Total&gt;</t>
  </si>
  <si>
    <t>ICP (Intercompany)</t>
  </si>
  <si>
    <t>[ICP Top]</t>
  </si>
  <si>
    <t>SCENARIO - ACTUAL</t>
  </si>
  <si>
    <t>Actual</t>
  </si>
  <si>
    <t>YEAR - ACTUAL</t>
  </si>
  <si>
    <t>VIEW - (MTD or QTD)</t>
  </si>
  <si>
    <t>VIEW - YTD</t>
  </si>
  <si>
    <t>Period</t>
  </si>
  <si>
    <t>CUSTOM1</t>
  </si>
  <si>
    <t>TotLoB</t>
  </si>
  <si>
    <t>CUSTOM2</t>
  </si>
  <si>
    <t>[None]</t>
  </si>
  <si>
    <t>CUSTOM3 (Currency Effect)</t>
  </si>
  <si>
    <t>CUSTOM4</t>
  </si>
  <si>
    <t>Normalized</t>
  </si>
  <si>
    <t>Connection</t>
  </si>
  <si>
    <t>CBREDev6</t>
  </si>
  <si>
    <t>TotSource</t>
  </si>
  <si>
    <t>Must use &lt;Entity Curr Total&gt; for top level entities, i.e. CBRELoB, TotGeog.  Use &lt;Parent Curr Total&gt; for US$ amounts for other entities that have functional currency other than USD.</t>
  </si>
  <si>
    <t>Periodic = Month to Date; QTD = Quarter to Date</t>
  </si>
  <si>
    <t>YTD = Year to Date</t>
  </si>
  <si>
    <t>PriorYrFX</t>
  </si>
  <si>
    <t>Q2 2018</t>
  </si>
  <si>
    <t>Q3 2017</t>
  </si>
  <si>
    <t>Q4 2017</t>
  </si>
  <si>
    <t>Q1 2018</t>
  </si>
  <si>
    <t>Americas USD % vs PY</t>
  </si>
  <si>
    <t>EMEA  USD % vs PY</t>
  </si>
  <si>
    <t>Americas LC % vs PY</t>
  </si>
  <si>
    <t>EMEA  LC % vs PY</t>
  </si>
  <si>
    <t>Loan Servicing</t>
  </si>
  <si>
    <t>($ in billions)</t>
  </si>
  <si>
    <t xml:space="preserve"> </t>
  </si>
  <si>
    <t>(1) Pipeline deals are projects we are pursuing which we believe have a greater than 50% chance of closing or where land has been acquired and the projected construction start is more than 12 months out.</t>
  </si>
  <si>
    <t>(2) In Process figures include Long-Term Operating Assets (LTOA). LTOA are projects that have achieved a stabilized level of occupancy or have been held 18-24 months following shell completion or acquisition.</t>
  </si>
  <si>
    <t>Q3 2018</t>
  </si>
  <si>
    <t>Q4 2018</t>
  </si>
  <si>
    <t>Plan</t>
  </si>
  <si>
    <t>Balance Sheet History</t>
  </si>
  <si>
    <t>($ in millions)</t>
  </si>
  <si>
    <t>ASSETS</t>
  </si>
  <si>
    <t>Cash and Cash Equivalents</t>
  </si>
  <si>
    <t>Restricted Cash</t>
  </si>
  <si>
    <t>Receivables, net</t>
  </si>
  <si>
    <t>Warehouse Receivables</t>
  </si>
  <si>
    <t>Property and Equipment, net</t>
  </si>
  <si>
    <t>Goodwill and Other Intangibles, net</t>
  </si>
  <si>
    <t>Investments In and Advances To Unconsolidated Subs</t>
  </si>
  <si>
    <t>Other Assets, net</t>
  </si>
  <si>
    <t>Total Assets</t>
  </si>
  <si>
    <t>LIABILITIES</t>
  </si>
  <si>
    <t>Current Liabilities, ex-debt</t>
  </si>
  <si>
    <t>Revolving Credit Facility</t>
  </si>
  <si>
    <t>Senior Term Loans, net</t>
  </si>
  <si>
    <t>Senior Notes, net</t>
  </si>
  <si>
    <t>Other Debt</t>
  </si>
  <si>
    <t>Other Long-term Liabilities</t>
  </si>
  <si>
    <t>Total Liabilities</t>
  </si>
  <si>
    <t>EQUITY</t>
  </si>
  <si>
    <t>CBRE Group, Inc. Stockholders' Equity</t>
  </si>
  <si>
    <t>Non-Controlling Interests</t>
  </si>
  <si>
    <t>TOTAL EQUITY</t>
  </si>
  <si>
    <t>TOTAL LIABILITIES AND EQUITY</t>
  </si>
  <si>
    <t xml:space="preserve">Reconciliation of net income to adjusted EBITDA </t>
  </si>
  <si>
    <t>Net income attributable to CBRE Group, Inc.</t>
  </si>
  <si>
    <t>Add:</t>
  </si>
  <si>
    <t xml:space="preserve">     Depreciation and amortization</t>
  </si>
  <si>
    <t xml:space="preserve">     Interest expense</t>
  </si>
  <si>
    <t xml:space="preserve">     Provision for income taxes</t>
  </si>
  <si>
    <t>Less:</t>
  </si>
  <si>
    <t xml:space="preserve">     Interest income</t>
  </si>
  <si>
    <t>Adjustments:</t>
  </si>
  <si>
    <t xml:space="preserve">     Integration and other costs related to acquisitions</t>
  </si>
  <si>
    <t xml:space="preserve">        to align with the timing of associated revenue</t>
  </si>
  <si>
    <t xml:space="preserve">     Costs incurred in connection with litgation settlement</t>
  </si>
  <si>
    <t>Advisory</t>
  </si>
  <si>
    <t>GWS</t>
  </si>
  <si>
    <t>Global Workplace Solutions</t>
  </si>
  <si>
    <t>Advisory Leasing</t>
  </si>
  <si>
    <t>Total Adjusted EBITDA</t>
  </si>
  <si>
    <t>Total Adjusted EBITDA Margin</t>
  </si>
  <si>
    <t>Development Revenue</t>
  </si>
  <si>
    <t>REI</t>
  </si>
  <si>
    <t>Q1 2019</t>
  </si>
  <si>
    <t>absolute figures.</t>
  </si>
  <si>
    <t>Due to rounding, numbers presented throughout this document may not add up precisely to the totals provided and percentages may not precisely reflect the</t>
  </si>
  <si>
    <t xml:space="preserve">Local currency percent changes are non-GAAP measures.  These percent changes are calculated by comparing current year quarter results at </t>
  </si>
  <si>
    <t xml:space="preserve">     Carried interest incentive compensation (reversal) expense</t>
  </si>
  <si>
    <t xml:space="preserve">     Costs associated with our reorganization, including cost-savings initiatives</t>
  </si>
  <si>
    <t xml:space="preserve">        remaining controlling interest was acquired</t>
  </si>
  <si>
    <t xml:space="preserve">        unconsolidated subsidiary to fair value as of the date the </t>
  </si>
  <si>
    <t xml:space="preserve">     One-time gain associated with remeasuring an investment in </t>
  </si>
  <si>
    <t xml:space="preserve">     Write-off of financing costs on extinguished debt</t>
  </si>
  <si>
    <r>
      <t xml:space="preserve">Warehouse Lines of Credit                                                    </t>
    </r>
    <r>
      <rPr>
        <sz val="8"/>
        <color theme="1"/>
        <rFont val="Arial"/>
        <family val="2"/>
      </rPr>
      <t>(which fund loans that U.S. Government Sponsored Enterprises have committed to purchase)</t>
    </r>
  </si>
  <si>
    <t>With respect to adjusted net income, adjusted EPS, EBITDA and adjusted EBITDA:  the company believes that investors may find these measures useful in evaluating our operating performance compared to that of other companies in our industry because their calculations generally eliminate the accounting effects of acquisitions, which would include impairment charges of goodwill and intangibles created from acquisitions—and in the case of EBITDA and adjusted EBITDA—the effects of financings and income tax and the accounting effects of capital spending.  All of these measures may vary for different companies for reasons unrelated to overall operating performance.  In the case of EBITDA and adjusted EBITDA, these measures are not intended to be measures of free cash flow for our management’s discretionary use because they do not consider cash requirements such as tax and debt service payments.  The EBITDA and adjusted EBITDA measures calculated herein may also differ from the amounts calculated under similarly titled definitions in our credit facilities and debt instruments, which amounts are further adjusted to reflect certain other cash and non-cash charges and are used by us to determine compliance with financial covenants therein and our ability to engage in certain activities, such as incurring additional debt and making certain restricted payments.  The company also uses adjusted EBITDA and adjusted EPS as significant components when measuring our operating performance under our employee incentive compensation programs.</t>
  </si>
  <si>
    <t> </t>
  </si>
  <si>
    <t>With respect to fee revenue:  the company believes that investors may find this measure useful to analyze the financial performance of our Occupier Outsourcing and Property Management business lines and our business generally.   Fee revenue excludes costs reimbursable by clients, and as such provides greater visibility into the underlying performance of our business.</t>
  </si>
  <si>
    <t>Our management generally uses these non-GAAP financial measures to evaluate operating performance and for other discretionary purposes.  The company believes that these measures provide a more complete understanding of ongoing operations, enhance comparability of current results to prior periods and may be useful for investors to analyze our financial performance because they eliminate the impact of selected charges that may obscure trends in the underlying performance of our business.  The company further uses certain of these measures, and believes that they are useful to investors, for purposes described below.</t>
  </si>
  <si>
    <t>These measures are not recognized measurements under United States generally accepted accounting principles, or “GAAP.”  When analyzing our operating performance, investors should use them in addition to, and not as an alternative for, their most directly comparable financial measure calculated and presented in accordance with GAAP.  Because not all companies use identical calculations, our presentation of these measures may not be comparable to similarly titled measures of other companies.</t>
  </si>
  <si>
    <t>EBITDA and adjusted EBITDA</t>
  </si>
  <si>
    <t>(iv)</t>
  </si>
  <si>
    <t>Diluted income per share attributable to CBRE Group, Inc. shareholders, as adjusted (which we also refer to as “adjusted earnings per share” or “adjusted EPS”)</t>
  </si>
  <si>
    <t>(iii)</t>
  </si>
  <si>
    <t>Net income attributable to CBRE Group, Inc., as adjusted (which we also refer to as “adjusted net income”)</t>
  </si>
  <si>
    <t>(ii)</t>
  </si>
  <si>
    <t>Fee revenue</t>
  </si>
  <si>
    <t>(i)</t>
  </si>
  <si>
    <t>The following measures are considered “non-GAAP financial measures” under SEC guidelines:</t>
  </si>
  <si>
    <t>Non-GAAP Financial Measures</t>
  </si>
  <si>
    <t xml:space="preserve">(1) Adjustments include certain carried interest compensation expense (reversal) to align with the timing of associated revenue, costs associated with our reorganization, including cost-savings initiatives, integration and other costs </t>
  </si>
  <si>
    <t>Adjusted EBITDA margin (adjusted revenue)</t>
  </si>
  <si>
    <t>Adjusted revenue</t>
  </si>
  <si>
    <t>Adjusted EBITDA margin (fee revenue)</t>
  </si>
  <si>
    <r>
      <t xml:space="preserve">Adjustments </t>
    </r>
    <r>
      <rPr>
        <sz val="8"/>
        <color theme="1"/>
        <rFont val="Arial"/>
        <family val="2"/>
      </rPr>
      <t>(1)</t>
    </r>
  </si>
  <si>
    <t>Add-back: Depreciation and amortization</t>
  </si>
  <si>
    <t>Less: Net income (loss) attributable to non-controlling interests</t>
  </si>
  <si>
    <t>Other income (loss)</t>
  </si>
  <si>
    <t>Equity income from unconsolidated subsidiaries</t>
  </si>
  <si>
    <t>Depreciation and amortization</t>
  </si>
  <si>
    <t>Operating, administrative and other</t>
  </si>
  <si>
    <t>Total revenue</t>
  </si>
  <si>
    <t>Operating income (loss)</t>
  </si>
  <si>
    <t>Cost of services</t>
  </si>
  <si>
    <t>CBRE SEGMENT TOTAL</t>
  </si>
  <si>
    <t>Segment EBITDA Detail History</t>
  </si>
  <si>
    <t>GLOBAL WORKPLACE SOLUTIONS</t>
  </si>
  <si>
    <t>REAL ESTATE INVESTMENTS</t>
  </si>
  <si>
    <t xml:space="preserve">Costs associated with our reorganization, including </t>
  </si>
  <si>
    <t>Equity income (loss) from unconsolidated subsidiaries</t>
  </si>
  <si>
    <t xml:space="preserve">Depreciation and amortization </t>
  </si>
  <si>
    <t xml:space="preserve">Cost of services </t>
  </si>
  <si>
    <t xml:space="preserve">Costs and expenses: </t>
  </si>
  <si>
    <t>Pass through costs also
   recognized as revenue</t>
  </si>
  <si>
    <t>Revenue:</t>
  </si>
  <si>
    <t>Consolidated</t>
  </si>
  <si>
    <t>Services</t>
  </si>
  <si>
    <t>Global</t>
  </si>
  <si>
    <t>Segment Results</t>
  </si>
  <si>
    <t>Workplace</t>
  </si>
  <si>
    <t>Solutions</t>
  </si>
  <si>
    <t>Real Estate</t>
  </si>
  <si>
    <t>Investments</t>
  </si>
  <si>
    <t>For The Three Months Ended March 31, 2019</t>
  </si>
  <si>
    <t>Carried interest</t>
  </si>
  <si>
    <t>Acquisition, disposition, incentive &amp; other</t>
  </si>
  <si>
    <t>Asset management</t>
  </si>
  <si>
    <t>Total fee revenue</t>
  </si>
  <si>
    <t xml:space="preserve">  </t>
  </si>
  <si>
    <t>Segment Revenue Detail History</t>
  </si>
  <si>
    <t>GLOBAL WORKPLACE SOLUTIONS (LOCAL CURRENCY VS. PRIOR YEAR)</t>
  </si>
  <si>
    <t>REAL ESTATE INVESTMENTS (LOCAL CURRENCY VS. PRIOR YEAR)</t>
  </si>
  <si>
    <t>GLOBAL WORKPLACE SOLUTIONS ($USD VS. PRIOR YEAR)</t>
  </si>
  <si>
    <t>REAL ESTATE INVESTMENTS ($USD VS. PRIOR YEAR)</t>
  </si>
  <si>
    <t>(3) Tax rate for Q4 2017 and FY 2017 on a GAAP basis is unusually high given one-time impact associated with U.S. tax reform.</t>
  </si>
  <si>
    <t>N/M = Not Meaningful</t>
  </si>
  <si>
    <t>Effective Tax Rate (A/B)</t>
  </si>
  <si>
    <t>Profit Before Taxes, excluding non-controlling interests (B)</t>
  </si>
  <si>
    <t>Profit Before Taxes</t>
  </si>
  <si>
    <t>Taxes (A)</t>
  </si>
  <si>
    <t>ADJUSTED CONSOLIDATED INCOME STATEMENT</t>
  </si>
  <si>
    <t>N/M</t>
  </si>
  <si>
    <t>ADJUSTMENTS TO GAAP CONSOLIDATED</t>
  </si>
  <si>
    <t>GAAP CONSOLIDATED INCOME STATEMENT</t>
  </si>
  <si>
    <t>(1) Calculation of tax rate adjusts profit before taxes to remove the portion attributable to non-controlling interests as noted below:</t>
  </si>
  <si>
    <t>Diluted EPS attributed to CBRE Group, Inc.</t>
  </si>
  <si>
    <t>Weighted avg. shares outstanding for diluted EPS</t>
  </si>
  <si>
    <t>Provision for income taxes</t>
  </si>
  <si>
    <t>Less: Interest income</t>
  </si>
  <si>
    <t>Adjusted net income attributable to CBRE Group, Inc.</t>
  </si>
  <si>
    <t>Net income</t>
  </si>
  <si>
    <r>
      <t xml:space="preserve">Tax rate </t>
    </r>
    <r>
      <rPr>
        <sz val="8"/>
        <color theme="1"/>
        <rFont val="Arial"/>
        <family val="2"/>
      </rPr>
      <t>(1)</t>
    </r>
  </si>
  <si>
    <t>Income before provision for income taxes</t>
  </si>
  <si>
    <t>Adjustments to diluted EPS attributed to CBRE Group, Inc.</t>
  </si>
  <si>
    <t>Adjustments To EBITDA</t>
  </si>
  <si>
    <t xml:space="preserve">Adjustments to net income attributable to CBRE Group, Inc. </t>
  </si>
  <si>
    <t>Less: Net income attributable to non-controlling interests</t>
  </si>
  <si>
    <r>
      <t xml:space="preserve">ADJUSTMENTS TO GAAP CONSOLIDATED </t>
    </r>
    <r>
      <rPr>
        <b/>
        <sz val="8"/>
        <color theme="1"/>
        <rFont val="Arial"/>
        <family val="2"/>
      </rPr>
      <t>(2)</t>
    </r>
  </si>
  <si>
    <t>Write-off of financing costs on extinguished debt</t>
  </si>
  <si>
    <t xml:space="preserve">Net income attributable to CBRE Group, Inc. </t>
  </si>
  <si>
    <t>($ in millions, except share data)</t>
  </si>
  <si>
    <t>Income Statement History</t>
  </si>
  <si>
    <t>Operating Results</t>
  </si>
  <si>
    <t>GAAP                           Consolidated</t>
  </si>
  <si>
    <t>Costs associated with our reorganization, including cost-savings initiatives</t>
  </si>
  <si>
    <t>Less: Net income attributable to   
   non-controlling interests</t>
  </si>
  <si>
    <t>ADVISORY SERVICES</t>
  </si>
  <si>
    <t>ADVISORY SERVICES (LOCAL CURRENCY VS. PRIOR YEAR)</t>
  </si>
  <si>
    <t>ADVISORY SERVICES ($USD VS. PRIOR YEAR)</t>
  </si>
  <si>
    <t>CBRE Q1 2019 Supplemental Disclosure</t>
  </si>
  <si>
    <t>Intangible asset impairment</t>
  </si>
  <si>
    <t>Carried interest incentive compensation expense to align with the timing of associated revenue</t>
  </si>
  <si>
    <t>Depreciation &amp; amortization</t>
  </si>
  <si>
    <t>Less: Net (loss) income attributable to   
   non-controlling interests</t>
  </si>
  <si>
    <t>Add-back: Intangible asset impairment</t>
  </si>
  <si>
    <t xml:space="preserve">  Operating, administrative
   and other </t>
  </si>
  <si>
    <t xml:space="preserve">     Intangible asset amortization</t>
  </si>
  <si>
    <t>Adjusted revenue for the Real Estate Investments segment</t>
  </si>
  <si>
    <t>(v)</t>
  </si>
  <si>
    <t>With respect to adjusted revenue: the company believes that investors may find this measure useful to analyze the financial performance of our Real Estate Investments segment because it is more reflective of this segment's total operations.</t>
  </si>
  <si>
    <t>Operating lease assets (1)</t>
  </si>
  <si>
    <t>Operating lease liabilities (1)</t>
  </si>
  <si>
    <t>(1) Reflects assets and liabilities recorded as a result of adopting Accounting Standards Update (ASU) No. 2016-02, "Leases (Topic 842)" on January 1, 2019 prosepectively using the optional transitional method associated with no</t>
  </si>
  <si>
    <t xml:space="preserve"> adjustment to comparative period financial statements presented for prior periods.</t>
  </si>
  <si>
    <t>Total adjusted revenue</t>
  </si>
  <si>
    <t>Add: Equity income from unconsolidated subsidiaries</t>
  </si>
  <si>
    <t>Add: Gain on disposition of real estate</t>
  </si>
  <si>
    <t>Less: Non-controlling interests income (loss)</t>
  </si>
  <si>
    <t>n/a</t>
  </si>
  <si>
    <t>Real Estate Investments Segment Detail</t>
  </si>
  <si>
    <t>Investment management line of business AUM</t>
  </si>
  <si>
    <r>
      <t xml:space="preserve">Development services line of business Pipeline </t>
    </r>
    <r>
      <rPr>
        <b/>
        <sz val="8"/>
        <color theme="1"/>
        <rFont val="Arial"/>
        <family val="2"/>
      </rPr>
      <t>(1)</t>
    </r>
  </si>
  <si>
    <t>one-time gain related to acquisitions, cost-elimination expenses and other non-recurring costs.</t>
  </si>
  <si>
    <t>Adjusted EBITDA margin (revenue)</t>
  </si>
  <si>
    <t>Less: Net (loss) income attributable to non-controlling interests</t>
  </si>
  <si>
    <t>Property &amp; Advisory Project Management</t>
  </si>
  <si>
    <t>n/m</t>
  </si>
  <si>
    <t xml:space="preserve">  cost-savings initiatives</t>
  </si>
  <si>
    <t>Commercial Mortgage Origination</t>
  </si>
  <si>
    <t>(2) Adjustments include non-cash depreciation &amp; amortization expense related to certain assets attributable to acquisitions, non-cash intangible asset impairment, costs associated with our reorganization, including cost-savings initiatives, certain carried interest compensation expense (reversal) to align with the timing of associated revenue, integration and other costs (gain) related to acquisitions, cost-elimination expenses and other non-recurring costs, as well as the associated impact to provision for income taxes for these charges.  For Q4 2017, FY 2017, Q1 2018, Q4 2018 and FY 2018 also includes removal of tax impact associated with U.S. tax reform.</t>
  </si>
  <si>
    <t>Advisory Sales</t>
  </si>
  <si>
    <t>prior year quarter exchange rates versus prior year quarter results. For example, Q1 2019 compares to Q1 2018 results at Q1 2018 exchange rates.</t>
  </si>
  <si>
    <t>Tax impact of adjusted items</t>
  </si>
  <si>
    <r>
      <t xml:space="preserve">Development services line of business In-Process </t>
    </r>
    <r>
      <rPr>
        <b/>
        <sz val="8"/>
        <color theme="1"/>
        <rFont val="Arial"/>
        <family val="2"/>
      </rPr>
      <t>(2)</t>
    </r>
  </si>
  <si>
    <t>Asia Pacific  USD % vs PY</t>
  </si>
  <si>
    <t>Asia Pacific  LC % vs PY</t>
  </si>
  <si>
    <t>Historical Segment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</si>
</sst>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0.0%"/>
    <numFmt numFmtId="166" formatCode="_(* #,##0.0_);_(* \(#,##0.0\);_(* &quot;-&quot;??_);_(@_)"/>
    <numFmt numFmtId="167" formatCode="_(* #,##0.0_);_(* \(#,##0.0\);_(* &quot;-&quot;?_);_(@_)"/>
    <numFmt numFmtId="168" formatCode="0.0"/>
    <numFmt numFmtId="169" formatCode="_(&quot;$&quot;* #,##0.0_);_(&quot;$&quot;* \(#,##0.0\);_(&quot;$&quot;* &quot;-&quot;?_);_(@_)"/>
    <numFmt numFmtId="170" formatCode="_(* #,##0_);_(* \(#,##0\);_(* &quot;-&quot;??_);_(@_)"/>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sz val="10"/>
      <name val="Times New Roman"/>
      <family val="1"/>
    </font>
    <font>
      <b/>
      <sz val="11"/>
      <color rgb="FFFF0000"/>
      <name val="Calibri"/>
      <family val="2"/>
      <scheme val="minor"/>
    </font>
    <font>
      <b/>
      <sz val="11"/>
      <color theme="1"/>
      <name val="Arial"/>
      <family val="2"/>
    </font>
    <font>
      <sz val="11"/>
      <name val="Arial"/>
      <family val="2"/>
    </font>
    <font>
      <sz val="11"/>
      <color theme="1"/>
      <name val="Arial"/>
      <family val="2"/>
    </font>
    <font>
      <b/>
      <sz val="11"/>
      <color theme="0"/>
      <name val="Arial"/>
      <family val="2"/>
    </font>
    <font>
      <b/>
      <sz val="8"/>
      <color theme="1"/>
      <name val="Arial"/>
      <family val="2"/>
    </font>
    <font>
      <i/>
      <sz val="8"/>
      <color theme="1"/>
      <name val="Arial"/>
      <family val="2"/>
    </font>
    <font>
      <sz val="11"/>
      <name val="Calibri"/>
      <family val="2"/>
      <scheme val="minor"/>
    </font>
    <font>
      <i/>
      <sz val="11"/>
      <color theme="1"/>
      <name val="Arial"/>
      <family val="2"/>
    </font>
    <font>
      <sz val="8"/>
      <color theme="1"/>
      <name val="Arial"/>
      <family val="2"/>
    </font>
    <font>
      <i/>
      <sz val="8"/>
      <color rgb="FF333333"/>
      <name val="Arial"/>
      <family val="2"/>
    </font>
    <font>
      <b/>
      <i/>
      <sz val="11"/>
      <color theme="1"/>
      <name val="Arial"/>
      <family val="2"/>
    </font>
    <font>
      <sz val="11"/>
      <color rgb="FF000000"/>
      <name val="Arial"/>
      <family val="2"/>
    </font>
    <font>
      <b/>
      <sz val="11"/>
      <name val="Calibri"/>
      <family val="2"/>
      <scheme val="minor"/>
    </font>
    <font>
      <i/>
      <sz val="10"/>
      <color theme="1"/>
      <name val="Arial"/>
      <family val="2"/>
    </font>
    <font>
      <sz val="10"/>
      <color rgb="FF000000"/>
      <name val="Arial"/>
      <family val="2"/>
    </font>
    <font>
      <sz val="10"/>
      <color theme="1"/>
      <name val="Arial"/>
      <family val="2"/>
    </font>
    <font>
      <b/>
      <u/>
      <sz val="10"/>
      <color theme="1"/>
      <name val="Arial"/>
      <family val="2"/>
    </font>
    <font>
      <b/>
      <sz val="11"/>
      <name val="Arial"/>
      <family val="2"/>
    </font>
    <font>
      <sz val="10"/>
      <color theme="1"/>
      <name val="Times New Roman"/>
      <family val="1"/>
    </font>
    <font>
      <sz val="8"/>
      <color theme="1"/>
      <name val="Times New Roman"/>
      <family val="1"/>
    </font>
    <font>
      <sz val="11"/>
      <color theme="0"/>
      <name val="Arial"/>
      <family val="2"/>
    </font>
    <font>
      <sz val="5"/>
      <color rgb="FFFF0000"/>
      <name val="Arial"/>
      <family val="2"/>
    </font>
    <font>
      <sz val="5"/>
      <name val="Arial"/>
      <family val="2"/>
    </font>
    <font>
      <sz val="11"/>
      <color rgb="FFFF0000"/>
      <name val="Arial"/>
      <family val="2"/>
    </font>
    <font>
      <i/>
      <sz val="8"/>
      <name val="Arial"/>
      <family val="2"/>
    </font>
  </fonts>
  <fills count="8">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7"/>
        <bgColor indexed="64"/>
      </patternFill>
    </fill>
    <fill>
      <patternFill patternType="solid">
        <fgColor theme="0" tint="-0.14999847407452621"/>
        <bgColor indexed="64"/>
      </patternFill>
    </fill>
    <fill>
      <patternFill patternType="solid">
        <fgColor rgb="FF006A4D"/>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6" fillId="0" borderId="0"/>
    <xf numFmtId="9" fontId="1" fillId="0" borderId="0" applyFont="0" applyFill="0" applyBorder="0" applyAlignment="0" applyProtection="0"/>
    <xf numFmtId="44" fontId="1" fillId="0" borderId="0" applyFont="0" applyFill="0" applyBorder="0" applyAlignment="0" applyProtection="0"/>
  </cellStyleXfs>
  <cellXfs count="503">
    <xf numFmtId="0" fontId="0" fillId="0" borderId="0" xfId="0"/>
    <xf numFmtId="0" fontId="0" fillId="2" borderId="0" xfId="0" applyFill="1" applyAlignment="1">
      <alignment horizontal="right"/>
    </xf>
    <xf numFmtId="164" fontId="0" fillId="2" borderId="0" xfId="0" applyNumberFormat="1" applyFill="1" applyAlignment="1">
      <alignment horizontal="center"/>
    </xf>
    <xf numFmtId="0" fontId="0" fillId="2" borderId="0" xfId="0" applyFill="1"/>
    <xf numFmtId="0" fontId="0" fillId="2" borderId="1" xfId="0" applyFill="1" applyBorder="1"/>
    <xf numFmtId="0" fontId="3" fillId="2" borderId="2" xfId="0" applyFont="1" applyFill="1" applyBorder="1" applyAlignment="1">
      <alignment horizontal="right"/>
    </xf>
    <xf numFmtId="0" fontId="3" fillId="2" borderId="2" xfId="0" applyFont="1" applyFill="1" applyBorder="1"/>
    <xf numFmtId="0" fontId="3" fillId="2" borderId="0" xfId="0" applyFont="1" applyFill="1" applyAlignment="1">
      <alignment horizontal="right"/>
    </xf>
    <xf numFmtId="0" fontId="3" fillId="2" borderId="0" xfId="0" applyFont="1" applyFill="1"/>
    <xf numFmtId="14" fontId="0" fillId="2" borderId="0" xfId="0" applyNumberFormat="1" applyFill="1" applyAlignment="1">
      <alignment horizontal="center"/>
    </xf>
    <xf numFmtId="0" fontId="0" fillId="2" borderId="2" xfId="0" applyFill="1" applyBorder="1" applyAlignment="1">
      <alignment horizontal="right"/>
    </xf>
    <xf numFmtId="0" fontId="0" fillId="2" borderId="2" xfId="0" applyFill="1" applyBorder="1"/>
    <xf numFmtId="0" fontId="0" fillId="2" borderId="3" xfId="0" applyFill="1" applyBorder="1"/>
    <xf numFmtId="0" fontId="4" fillId="3" borderId="5" xfId="0" applyFont="1" applyFill="1" applyBorder="1"/>
    <xf numFmtId="0" fontId="5" fillId="0" borderId="0" xfId="0" applyFont="1"/>
    <xf numFmtId="0" fontId="5" fillId="0" borderId="0" xfId="2" applyFont="1"/>
    <xf numFmtId="49" fontId="5" fillId="0" borderId="0" xfId="0" applyNumberFormat="1" applyFont="1"/>
    <xf numFmtId="49" fontId="5" fillId="4" borderId="6" xfId="0" applyNumberFormat="1" applyFont="1" applyFill="1" applyBorder="1" applyAlignment="1">
      <alignment horizontal="center"/>
    </xf>
    <xf numFmtId="49" fontId="5" fillId="4" borderId="5" xfId="0" applyNumberFormat="1" applyFont="1" applyFill="1" applyBorder="1" applyAlignment="1">
      <alignment horizontal="center"/>
    </xf>
    <xf numFmtId="0" fontId="4" fillId="0" borderId="0" xfId="0" applyFont="1"/>
    <xf numFmtId="0" fontId="5" fillId="0" borderId="3" xfId="0" applyFont="1" applyBorder="1" applyAlignment="1">
      <alignment horizontal="center"/>
    </xf>
    <xf numFmtId="1" fontId="5" fillId="3" borderId="5" xfId="0" applyNumberFormat="1" applyFont="1" applyFill="1" applyBorder="1" applyAlignment="1">
      <alignment horizontal="center"/>
    </xf>
    <xf numFmtId="0" fontId="5" fillId="0" borderId="1" xfId="0" applyFont="1" applyBorder="1" applyAlignment="1">
      <alignment horizontal="center"/>
    </xf>
    <xf numFmtId="0" fontId="4" fillId="3" borderId="6" xfId="0" applyFont="1" applyFill="1" applyBorder="1"/>
    <xf numFmtId="0" fontId="4" fillId="0" borderId="5" xfId="0" applyFont="1" applyBorder="1"/>
    <xf numFmtId="0" fontId="5" fillId="0" borderId="5" xfId="0" applyFont="1" applyBorder="1" applyAlignment="1">
      <alignment horizontal="center"/>
    </xf>
    <xf numFmtId="0" fontId="5" fillId="0" borderId="0" xfId="2" applyFont="1" applyAlignment="1">
      <alignment wrapText="1"/>
    </xf>
    <xf numFmtId="49" fontId="5" fillId="0" borderId="0" xfId="2" applyNumberFormat="1" applyFont="1"/>
    <xf numFmtId="166" fontId="0" fillId="2" borderId="0" xfId="1" applyNumberFormat="1" applyFont="1" applyFill="1" applyAlignment="1">
      <alignment horizontal="center"/>
    </xf>
    <xf numFmtId="166" fontId="3" fillId="2" borderId="0" xfId="1" applyNumberFormat="1" applyFont="1" applyFill="1" applyAlignment="1">
      <alignment horizontal="center"/>
    </xf>
    <xf numFmtId="166" fontId="0" fillId="2" borderId="2" xfId="1" applyNumberFormat="1" applyFont="1" applyFill="1" applyBorder="1"/>
    <xf numFmtId="166" fontId="0" fillId="2" borderId="0" xfId="1" applyNumberFormat="1" applyFont="1" applyFill="1"/>
    <xf numFmtId="0" fontId="2" fillId="2" borderId="0" xfId="0" applyFont="1" applyFill="1"/>
    <xf numFmtId="165" fontId="0" fillId="2" borderId="0" xfId="3" applyNumberFormat="1" applyFont="1" applyFill="1" applyAlignment="1">
      <alignment horizontal="center"/>
    </xf>
    <xf numFmtId="0" fontId="2" fillId="2" borderId="0" xfId="0" applyFont="1" applyFill="1" applyAlignment="1">
      <alignment horizontal="right"/>
    </xf>
    <xf numFmtId="0" fontId="7" fillId="2" borderId="0" xfId="0" applyFont="1" applyFill="1" applyAlignment="1">
      <alignment horizontal="center"/>
    </xf>
    <xf numFmtId="0" fontId="2" fillId="5" borderId="0" xfId="0" applyFont="1" applyFill="1"/>
    <xf numFmtId="0" fontId="2" fillId="5" borderId="0" xfId="0" applyFont="1" applyFill="1" applyAlignment="1">
      <alignment horizontal="right"/>
    </xf>
    <xf numFmtId="0" fontId="7" fillId="5" borderId="0" xfId="0" applyFont="1" applyFill="1" applyAlignment="1">
      <alignment horizontal="center"/>
    </xf>
    <xf numFmtId="165" fontId="0" fillId="2" borderId="8" xfId="3" applyNumberFormat="1" applyFont="1" applyFill="1" applyBorder="1" applyAlignment="1">
      <alignment horizontal="center"/>
    </xf>
    <xf numFmtId="165" fontId="0" fillId="2" borderId="2" xfId="3" applyNumberFormat="1" applyFont="1" applyFill="1" applyBorder="1" applyAlignment="1">
      <alignment horizontal="center"/>
    </xf>
    <xf numFmtId="0" fontId="8" fillId="2" borderId="0" xfId="0" applyFont="1" applyFill="1" applyAlignment="1">
      <alignment horizontal="left"/>
    </xf>
    <xf numFmtId="0" fontId="9" fillId="2" borderId="0" xfId="0" applyFont="1" applyFill="1" applyAlignment="1">
      <alignment horizontal="left"/>
    </xf>
    <xf numFmtId="0" fontId="10" fillId="2" borderId="0" xfId="0" applyFont="1" applyFill="1"/>
    <xf numFmtId="0" fontId="0" fillId="2" borderId="2" xfId="0" applyFill="1" applyBorder="1" applyAlignment="1">
      <alignment vertical="top" wrapText="1"/>
    </xf>
    <xf numFmtId="0" fontId="10" fillId="2" borderId="2" xfId="0" applyFont="1" applyFill="1" applyBorder="1" applyAlignment="1">
      <alignment vertical="top" wrapText="1"/>
    </xf>
    <xf numFmtId="0" fontId="11" fillId="6" borderId="8" xfId="0" applyFont="1" applyFill="1" applyBorder="1" applyAlignment="1">
      <alignment horizontal="center"/>
    </xf>
    <xf numFmtId="0" fontId="11" fillId="6" borderId="2" xfId="0" applyFont="1" applyFill="1" applyBorder="1" applyAlignment="1">
      <alignment horizontal="center"/>
    </xf>
    <xf numFmtId="0" fontId="0" fillId="2" borderId="0" xfId="0" applyFill="1" applyAlignment="1">
      <alignment vertical="top" wrapText="1"/>
    </xf>
    <xf numFmtId="0" fontId="8" fillId="2" borderId="0" xfId="0" applyFont="1" applyFill="1" applyAlignment="1">
      <alignment vertical="top" wrapText="1"/>
    </xf>
    <xf numFmtId="167" fontId="10" fillId="2" borderId="7" xfId="0" applyNumberFormat="1" applyFont="1" applyFill="1" applyBorder="1" applyAlignment="1">
      <alignment horizontal="center"/>
    </xf>
    <xf numFmtId="167" fontId="10" fillId="2" borderId="0" xfId="0" applyNumberFormat="1" applyFont="1" applyFill="1" applyAlignment="1">
      <alignment horizontal="center"/>
    </xf>
    <xf numFmtId="167" fontId="10" fillId="2" borderId="0" xfId="0" applyNumberFormat="1" applyFont="1" applyFill="1"/>
    <xf numFmtId="0" fontId="0" fillId="7" borderId="0" xfId="0" applyFill="1" applyAlignment="1">
      <alignment vertical="top" wrapText="1"/>
    </xf>
    <xf numFmtId="0" fontId="8" fillId="7" borderId="0" xfId="0" applyFont="1" applyFill="1" applyAlignment="1">
      <alignment vertical="top" wrapText="1"/>
    </xf>
    <xf numFmtId="167" fontId="10" fillId="7" borderId="7" xfId="0" applyNumberFormat="1" applyFont="1" applyFill="1" applyBorder="1"/>
    <xf numFmtId="167" fontId="10" fillId="7" borderId="0" xfId="0" applyNumberFormat="1" applyFont="1" applyFill="1"/>
    <xf numFmtId="0" fontId="0" fillId="7" borderId="0" xfId="0" applyFill="1"/>
    <xf numFmtId="167" fontId="10" fillId="2" borderId="7" xfId="0" applyNumberFormat="1" applyFont="1" applyFill="1" applyBorder="1"/>
    <xf numFmtId="0" fontId="13" fillId="2" borderId="0" xfId="0" quotePrefix="1" applyFont="1" applyFill="1"/>
    <xf numFmtId="0" fontId="0" fillId="2" borderId="7" xfId="0" applyFill="1" applyBorder="1"/>
    <xf numFmtId="166" fontId="0" fillId="2" borderId="7" xfId="1" applyNumberFormat="1" applyFont="1" applyFill="1" applyBorder="1" applyAlignment="1">
      <alignment horizontal="center"/>
    </xf>
    <xf numFmtId="165" fontId="0" fillId="2" borderId="7" xfId="3" applyNumberFormat="1" applyFont="1" applyFill="1" applyBorder="1" applyAlignment="1">
      <alignment horizontal="center"/>
    </xf>
    <xf numFmtId="166" fontId="0" fillId="2" borderId="7" xfId="1" applyNumberFormat="1" applyFont="1" applyFill="1" applyBorder="1"/>
    <xf numFmtId="0" fontId="7" fillId="5" borderId="7" xfId="0" applyFont="1" applyFill="1" applyBorder="1"/>
    <xf numFmtId="0" fontId="7" fillId="2" borderId="7" xfId="0" applyFont="1" applyFill="1" applyBorder="1"/>
    <xf numFmtId="166" fontId="3" fillId="2" borderId="7" xfId="1" applyNumberFormat="1" applyFont="1" applyFill="1" applyBorder="1" applyAlignment="1">
      <alignment horizontal="center"/>
    </xf>
    <xf numFmtId="0" fontId="7" fillId="5" borderId="7" xfId="0" applyFont="1" applyFill="1" applyBorder="1" applyAlignment="1">
      <alignment horizontal="center"/>
    </xf>
    <xf numFmtId="0" fontId="7" fillId="2" borderId="7" xfId="0" applyFont="1" applyFill="1" applyBorder="1" applyAlignment="1">
      <alignment horizontal="center"/>
    </xf>
    <xf numFmtId="0" fontId="2" fillId="2" borderId="2" xfId="0" applyFont="1" applyFill="1" applyBorder="1"/>
    <xf numFmtId="0" fontId="0" fillId="5" borderId="0" xfId="0" applyFill="1"/>
    <xf numFmtId="0" fontId="0" fillId="5" borderId="0" xfId="0" applyFill="1" applyAlignment="1">
      <alignment horizontal="right"/>
    </xf>
    <xf numFmtId="0" fontId="0" fillId="5" borderId="7" xfId="0" applyFill="1" applyBorder="1"/>
    <xf numFmtId="0" fontId="0" fillId="5" borderId="0" xfId="0" applyFill="1" applyAlignment="1">
      <alignment horizontal="center"/>
    </xf>
    <xf numFmtId="166" fontId="0" fillId="2" borderId="2" xfId="1" applyNumberFormat="1" applyFont="1" applyFill="1" applyBorder="1" applyAlignment="1">
      <alignment horizontal="center"/>
    </xf>
    <xf numFmtId="166" fontId="0" fillId="2" borderId="8" xfId="1" applyNumberFormat="1" applyFont="1" applyFill="1" applyBorder="1" applyAlignment="1">
      <alignment horizontal="center"/>
    </xf>
    <xf numFmtId="166" fontId="0" fillId="2" borderId="3" xfId="1" applyNumberFormat="1" applyFont="1" applyFill="1" applyBorder="1" applyAlignment="1">
      <alignment horizontal="center"/>
    </xf>
    <xf numFmtId="0" fontId="10" fillId="2" borderId="7" xfId="0" applyFont="1" applyFill="1" applyBorder="1"/>
    <xf numFmtId="0" fontId="10" fillId="2" borderId="0" xfId="0" applyFont="1" applyFill="1" applyAlignment="1">
      <alignment horizontal="left"/>
    </xf>
    <xf numFmtId="0" fontId="10" fillId="2" borderId="0" xfId="0" applyFont="1" applyFill="1" applyAlignment="1">
      <alignment horizontal="right"/>
    </xf>
    <xf numFmtId="0" fontId="11" fillId="6" borderId="0" xfId="0" applyFont="1" applyFill="1" applyAlignment="1">
      <alignment horizontal="center"/>
    </xf>
    <xf numFmtId="0" fontId="11" fillId="6" borderId="7" xfId="0" applyFont="1" applyFill="1" applyBorder="1" applyAlignment="1">
      <alignment horizontal="center"/>
    </xf>
    <xf numFmtId="0" fontId="8" fillId="7" borderId="0" xfId="0" applyFont="1" applyFill="1" applyAlignment="1">
      <alignment horizontal="left" vertical="top" wrapText="1"/>
    </xf>
    <xf numFmtId="0" fontId="8" fillId="7" borderId="0" xfId="0" applyFont="1" applyFill="1" applyAlignment="1">
      <alignment horizontal="left" vertical="top"/>
    </xf>
    <xf numFmtId="0" fontId="8" fillId="7" borderId="7" xfId="0" applyFont="1" applyFill="1" applyBorder="1" applyAlignment="1">
      <alignment horizontal="left" vertical="top"/>
    </xf>
    <xf numFmtId="0" fontId="8" fillId="7" borderId="1" xfId="0" applyFont="1" applyFill="1" applyBorder="1" applyAlignment="1">
      <alignment horizontal="left" vertical="top"/>
    </xf>
    <xf numFmtId="0" fontId="10" fillId="2" borderId="0" xfId="0" applyFont="1" applyFill="1" applyAlignment="1">
      <alignment horizontal="left" vertical="top" wrapText="1"/>
    </xf>
    <xf numFmtId="167" fontId="10" fillId="2" borderId="1" xfId="0" applyNumberFormat="1" applyFont="1" applyFill="1" applyBorder="1"/>
    <xf numFmtId="0" fontId="10" fillId="2" borderId="2" xfId="0" applyFont="1" applyFill="1" applyBorder="1" applyAlignment="1">
      <alignment horizontal="left" vertical="top" wrapText="1"/>
    </xf>
    <xf numFmtId="167" fontId="10" fillId="2" borderId="2" xfId="0" applyNumberFormat="1" applyFont="1" applyFill="1" applyBorder="1"/>
    <xf numFmtId="167" fontId="10" fillId="2" borderId="8" xfId="0" applyNumberFormat="1" applyFont="1" applyFill="1" applyBorder="1"/>
    <xf numFmtId="167" fontId="10" fillId="2" borderId="3" xfId="0" applyNumberFormat="1" applyFont="1" applyFill="1" applyBorder="1"/>
    <xf numFmtId="167" fontId="10" fillId="2" borderId="2" xfId="0" applyNumberFormat="1" applyFont="1" applyFill="1" applyBorder="1" applyAlignment="1">
      <alignment horizontal="center"/>
    </xf>
    <xf numFmtId="0" fontId="8" fillId="2" borderId="0" xfId="0" applyFont="1" applyFill="1" applyAlignment="1">
      <alignment horizontal="left" vertical="top" wrapText="1"/>
    </xf>
    <xf numFmtId="167" fontId="8" fillId="2" borderId="0" xfId="0" applyNumberFormat="1" applyFont="1" applyFill="1"/>
    <xf numFmtId="167" fontId="8" fillId="2" borderId="7" xfId="0" applyNumberFormat="1" applyFont="1" applyFill="1" applyBorder="1"/>
    <xf numFmtId="167" fontId="8" fillId="2" borderId="1" xfId="0" applyNumberFormat="1" applyFont="1" applyFill="1" applyBorder="1"/>
    <xf numFmtId="167" fontId="10" fillId="2" borderId="0" xfId="0" applyNumberFormat="1" applyFont="1" applyFill="1" applyAlignment="1">
      <alignment vertical="top"/>
    </xf>
    <xf numFmtId="167" fontId="10" fillId="2" borderId="7" xfId="0" applyNumberFormat="1" applyFont="1" applyFill="1" applyBorder="1" applyAlignment="1">
      <alignment vertical="top"/>
    </xf>
    <xf numFmtId="167" fontId="10" fillId="2" borderId="1" xfId="0" applyNumberFormat="1" applyFont="1" applyFill="1" applyBorder="1" applyAlignment="1">
      <alignment vertical="top"/>
    </xf>
    <xf numFmtId="167" fontId="10" fillId="2" borderId="0" xfId="0" applyNumberFormat="1" applyFont="1" applyFill="1" applyAlignment="1">
      <alignment horizontal="center" vertical="top"/>
    </xf>
    <xf numFmtId="167" fontId="8" fillId="2" borderId="0" xfId="0" applyNumberFormat="1" applyFont="1" applyFill="1" applyAlignment="1">
      <alignment horizontal="center"/>
    </xf>
    <xf numFmtId="0" fontId="8" fillId="2" borderId="0" xfId="0" applyFont="1" applyFill="1" applyAlignment="1">
      <alignment horizontal="right"/>
    </xf>
    <xf numFmtId="164" fontId="10" fillId="2" borderId="0" xfId="0" applyNumberFormat="1" applyFont="1" applyFill="1" applyAlignment="1">
      <alignment horizontal="center"/>
    </xf>
    <xf numFmtId="0" fontId="17" fillId="2" borderId="0" xfId="0" applyFont="1" applyFill="1" applyAlignment="1">
      <alignment horizontal="left"/>
    </xf>
    <xf numFmtId="0" fontId="15" fillId="2" borderId="0" xfId="0" applyFont="1" applyFill="1"/>
    <xf numFmtId="168" fontId="10" fillId="2" borderId="0" xfId="0" applyNumberFormat="1" applyFont="1" applyFill="1"/>
    <xf numFmtId="0" fontId="17" fillId="2" borderId="0" xfId="0" applyFont="1" applyFill="1" applyAlignment="1">
      <alignment wrapText="1"/>
    </xf>
    <xf numFmtId="0" fontId="13" fillId="2" borderId="0" xfId="0" quotePrefix="1" applyFont="1" applyFill="1" applyAlignment="1">
      <alignment horizontal="left"/>
    </xf>
    <xf numFmtId="0" fontId="16" fillId="2" borderId="0" xfId="0" applyFont="1" applyFill="1"/>
    <xf numFmtId="0" fontId="13" fillId="2" borderId="0" xfId="0" applyFont="1" applyFill="1" applyAlignment="1">
      <alignment horizontal="left"/>
    </xf>
    <xf numFmtId="0" fontId="18" fillId="2" borderId="0" xfId="0" applyFont="1" applyFill="1" applyAlignment="1">
      <alignment horizontal="centerContinuous"/>
    </xf>
    <xf numFmtId="169" fontId="10" fillId="2" borderId="7" xfId="0" applyNumberFormat="1" applyFont="1" applyFill="1" applyBorder="1"/>
    <xf numFmtId="169" fontId="10" fillId="2" borderId="0" xfId="0" applyNumberFormat="1" applyFont="1" applyFill="1"/>
    <xf numFmtId="164" fontId="19" fillId="2" borderId="0" xfId="0" applyNumberFormat="1" applyFont="1" applyFill="1" applyAlignment="1">
      <alignment wrapText="1"/>
    </xf>
    <xf numFmtId="167" fontId="19" fillId="2" borderId="0" xfId="0" applyNumberFormat="1" applyFont="1" applyFill="1" applyAlignment="1">
      <alignment wrapText="1"/>
    </xf>
    <xf numFmtId="0" fontId="10" fillId="2" borderId="2" xfId="0" applyFont="1" applyFill="1" applyBorder="1" applyAlignment="1">
      <alignment horizontal="left"/>
    </xf>
    <xf numFmtId="0" fontId="10" fillId="2" borderId="2" xfId="0" applyFont="1" applyFill="1" applyBorder="1"/>
    <xf numFmtId="167" fontId="19" fillId="2" borderId="2" xfId="0" applyNumberFormat="1" applyFont="1" applyFill="1" applyBorder="1" applyAlignment="1">
      <alignment wrapText="1"/>
    </xf>
    <xf numFmtId="0" fontId="10" fillId="2" borderId="10" xfId="0" applyFont="1" applyFill="1" applyBorder="1" applyAlignment="1">
      <alignment horizontal="left"/>
    </xf>
    <xf numFmtId="0" fontId="10" fillId="2" borderId="10" xfId="0" applyFont="1" applyFill="1" applyBorder="1"/>
    <xf numFmtId="167" fontId="10" fillId="2" borderId="10" xfId="0" applyNumberFormat="1" applyFont="1" applyFill="1" applyBorder="1"/>
    <xf numFmtId="167" fontId="10" fillId="2" borderId="11" xfId="0" applyNumberFormat="1" applyFont="1" applyFill="1" applyBorder="1"/>
    <xf numFmtId="0" fontId="0" fillId="2" borderId="0" xfId="0" applyFill="1" applyAlignment="1">
      <alignment horizontal="left"/>
    </xf>
    <xf numFmtId="165" fontId="0" fillId="2" borderId="0" xfId="3" applyNumberFormat="1" applyFont="1" applyFill="1"/>
    <xf numFmtId="0" fontId="7" fillId="5" borderId="0" xfId="0" applyFont="1" applyFill="1"/>
    <xf numFmtId="0" fontId="7" fillId="2" borderId="0" xfId="0" applyFont="1" applyFill="1"/>
    <xf numFmtId="165" fontId="0" fillId="2" borderId="2" xfId="3" applyNumberFormat="1" applyFont="1" applyFill="1" applyBorder="1"/>
    <xf numFmtId="14" fontId="0" fillId="2" borderId="0" xfId="0" applyNumberFormat="1" applyFill="1"/>
    <xf numFmtId="165" fontId="0" fillId="2" borderId="1" xfId="3" applyNumberFormat="1" applyFont="1" applyFill="1" applyBorder="1" applyAlignment="1">
      <alignment horizontal="center"/>
    </xf>
    <xf numFmtId="0" fontId="0" fillId="5" borderId="1" xfId="0" applyFill="1" applyBorder="1"/>
    <xf numFmtId="0" fontId="7" fillId="5" borderId="1" xfId="0" applyFont="1" applyFill="1" applyBorder="1"/>
    <xf numFmtId="0" fontId="7" fillId="2" borderId="1" xfId="0" applyFont="1" applyFill="1" applyBorder="1"/>
    <xf numFmtId="165" fontId="0" fillId="2" borderId="3" xfId="3" applyNumberFormat="1" applyFont="1" applyFill="1" applyBorder="1" applyAlignment="1">
      <alignment horizontal="center"/>
    </xf>
    <xf numFmtId="14" fontId="0" fillId="2" borderId="1" xfId="0" applyNumberFormat="1" applyFill="1" applyBorder="1"/>
    <xf numFmtId="165" fontId="0" fillId="2" borderId="2" xfId="1" applyNumberFormat="1" applyFont="1" applyFill="1" applyBorder="1"/>
    <xf numFmtId="165" fontId="0" fillId="2" borderId="8" xfId="1" applyNumberFormat="1" applyFont="1" applyFill="1" applyBorder="1"/>
    <xf numFmtId="165" fontId="0" fillId="2" borderId="2" xfId="1" applyNumberFormat="1" applyFont="1" applyFill="1" applyBorder="1" applyAlignment="1">
      <alignment horizontal="center"/>
    </xf>
    <xf numFmtId="165" fontId="0" fillId="2" borderId="8" xfId="1" applyNumberFormat="1" applyFont="1" applyFill="1" applyBorder="1" applyAlignment="1">
      <alignment horizontal="center"/>
    </xf>
    <xf numFmtId="0" fontId="3" fillId="2" borderId="13" xfId="0" applyFont="1" applyFill="1" applyBorder="1" applyAlignment="1">
      <alignment horizontal="right"/>
    </xf>
    <xf numFmtId="165" fontId="14" fillId="2" borderId="7" xfId="3" applyNumberFormat="1" applyFont="1" applyFill="1" applyBorder="1" applyAlignment="1">
      <alignment horizontal="center"/>
    </xf>
    <xf numFmtId="165" fontId="14" fillId="2" borderId="0" xfId="3" applyNumberFormat="1" applyFont="1" applyFill="1" applyAlignment="1">
      <alignment horizontal="center"/>
    </xf>
    <xf numFmtId="165" fontId="14" fillId="2" borderId="0" xfId="3" applyNumberFormat="1" applyFont="1" applyFill="1"/>
    <xf numFmtId="165" fontId="14" fillId="2" borderId="8" xfId="3" applyNumberFormat="1" applyFont="1" applyFill="1" applyBorder="1" applyAlignment="1">
      <alignment horizontal="center"/>
    </xf>
    <xf numFmtId="165" fontId="14" fillId="2" borderId="2" xfId="3" applyNumberFormat="1" applyFont="1" applyFill="1" applyBorder="1" applyAlignment="1">
      <alignment horizontal="center"/>
    </xf>
    <xf numFmtId="165" fontId="14" fillId="2" borderId="2" xfId="3" applyNumberFormat="1" applyFont="1" applyFill="1" applyBorder="1"/>
    <xf numFmtId="165" fontId="3" fillId="2" borderId="1" xfId="3" applyNumberFormat="1" applyFont="1" applyFill="1" applyBorder="1" applyAlignment="1">
      <alignment horizontal="center"/>
    </xf>
    <xf numFmtId="165" fontId="3" fillId="2" borderId="7" xfId="3" applyNumberFormat="1" applyFont="1" applyFill="1" applyBorder="1" applyAlignment="1">
      <alignment horizontal="center"/>
    </xf>
    <xf numFmtId="165" fontId="3" fillId="2" borderId="0" xfId="3" applyNumberFormat="1" applyFont="1" applyFill="1" applyAlignment="1">
      <alignment horizontal="center"/>
    </xf>
    <xf numFmtId="165" fontId="3" fillId="2" borderId="0" xfId="3" applyNumberFormat="1" applyFont="1" applyFill="1"/>
    <xf numFmtId="165" fontId="20" fillId="2" borderId="7" xfId="3" applyNumberFormat="1" applyFont="1" applyFill="1" applyBorder="1" applyAlignment="1">
      <alignment horizontal="center"/>
    </xf>
    <xf numFmtId="165" fontId="20" fillId="2" borderId="0" xfId="3" applyNumberFormat="1" applyFont="1" applyFill="1" applyAlignment="1">
      <alignment horizontal="center"/>
    </xf>
    <xf numFmtId="165" fontId="20" fillId="2" borderId="0" xfId="3" applyNumberFormat="1" applyFont="1" applyFill="1"/>
    <xf numFmtId="0" fontId="3" fillId="2" borderId="13" xfId="0" applyFont="1" applyFill="1" applyBorder="1"/>
    <xf numFmtId="166" fontId="3" fillId="2" borderId="2" xfId="1" applyNumberFormat="1" applyFont="1" applyFill="1" applyBorder="1" applyAlignment="1">
      <alignment horizontal="center"/>
    </xf>
    <xf numFmtId="166" fontId="3" fillId="2" borderId="8" xfId="1" applyNumberFormat="1" applyFont="1" applyFill="1" applyBorder="1" applyAlignment="1">
      <alignment horizontal="center"/>
    </xf>
    <xf numFmtId="166" fontId="3" fillId="2" borderId="2" xfId="1" applyNumberFormat="1" applyFont="1" applyFill="1" applyBorder="1"/>
    <xf numFmtId="166" fontId="3" fillId="2" borderId="8" xfId="1" applyNumberFormat="1" applyFont="1" applyFill="1" applyBorder="1"/>
    <xf numFmtId="167" fontId="10" fillId="2" borderId="17" xfId="0" applyNumberFormat="1" applyFont="1" applyFill="1" applyBorder="1"/>
    <xf numFmtId="0" fontId="10" fillId="2" borderId="1" xfId="0" applyFont="1" applyFill="1" applyBorder="1"/>
    <xf numFmtId="169" fontId="10" fillId="2" borderId="1" xfId="0" applyNumberFormat="1" applyFont="1" applyFill="1" applyBorder="1"/>
    <xf numFmtId="0" fontId="21" fillId="2" borderId="0" xfId="0" applyFont="1" applyFill="1" applyAlignment="1">
      <alignment horizontal="center"/>
    </xf>
    <xf numFmtId="167" fontId="8" fillId="2" borderId="14" xfId="0" applyNumberFormat="1" applyFont="1" applyFill="1" applyBorder="1"/>
    <xf numFmtId="167" fontId="8" fillId="2" borderId="18" xfId="0" applyNumberFormat="1" applyFont="1" applyFill="1" applyBorder="1"/>
    <xf numFmtId="167" fontId="8" fillId="2" borderId="19" xfId="0" applyNumberFormat="1" applyFont="1" applyFill="1" applyBorder="1"/>
    <xf numFmtId="0" fontId="8" fillId="2" borderId="18" xfId="0" applyFont="1" applyFill="1" applyBorder="1" applyAlignment="1">
      <alignment horizontal="left" vertical="top" wrapText="1"/>
    </xf>
    <xf numFmtId="0" fontId="23" fillId="2" borderId="0" xfId="0" applyFont="1" applyFill="1"/>
    <xf numFmtId="0" fontId="0" fillId="2" borderId="0" xfId="0" applyFill="1" applyAlignment="1">
      <alignment horizontal="left" wrapText="1"/>
    </xf>
    <xf numFmtId="0" fontId="23" fillId="2" borderId="0" xfId="0" applyFont="1" applyFill="1" applyAlignment="1">
      <alignment horizontal="right"/>
    </xf>
    <xf numFmtId="0" fontId="0" fillId="2" borderId="0" xfId="0" applyFill="1" applyAlignment="1">
      <alignment wrapText="1"/>
    </xf>
    <xf numFmtId="0" fontId="10" fillId="2" borderId="0" xfId="0" applyFont="1" applyFill="1" applyAlignment="1">
      <alignment wrapText="1"/>
    </xf>
    <xf numFmtId="0" fontId="23" fillId="2" borderId="0" xfId="0" applyFont="1" applyFill="1" applyAlignment="1">
      <alignment wrapText="1"/>
    </xf>
    <xf numFmtId="0" fontId="22" fillId="2" borderId="0" xfId="0" applyFont="1" applyFill="1"/>
    <xf numFmtId="0" fontId="24" fillId="2" borderId="0" xfId="0" applyFont="1" applyFill="1" applyAlignment="1">
      <alignment horizontal="left"/>
    </xf>
    <xf numFmtId="167" fontId="10" fillId="2" borderId="1" xfId="0" applyNumberFormat="1" applyFont="1" applyFill="1" applyBorder="1" applyAlignment="1">
      <alignment horizontal="center"/>
    </xf>
    <xf numFmtId="167" fontId="10" fillId="7" borderId="1" xfId="0" applyNumberFormat="1" applyFont="1" applyFill="1" applyBorder="1"/>
    <xf numFmtId="167" fontId="10" fillId="0" borderId="1" xfId="0" applyNumberFormat="1" applyFont="1" applyBorder="1" applyAlignment="1">
      <alignment horizontal="center"/>
    </xf>
    <xf numFmtId="167" fontId="10" fillId="0" borderId="0" xfId="0" applyNumberFormat="1" applyFont="1" applyAlignment="1">
      <alignment horizontal="center"/>
    </xf>
    <xf numFmtId="0" fontId="11" fillId="6" borderId="3" xfId="0" applyFont="1" applyFill="1" applyBorder="1" applyAlignment="1">
      <alignment horizontal="center"/>
    </xf>
    <xf numFmtId="0" fontId="17" fillId="2" borderId="0" xfId="0" applyFont="1" applyFill="1"/>
    <xf numFmtId="167" fontId="10" fillId="2" borderId="1" xfId="1" applyNumberFormat="1" applyFont="1" applyFill="1" applyBorder="1" applyAlignment="1">
      <alignment horizontal="center"/>
    </xf>
    <xf numFmtId="167" fontId="10" fillId="2" borderId="7" xfId="1" applyNumberFormat="1" applyFont="1" applyFill="1" applyBorder="1" applyAlignment="1">
      <alignment horizontal="center"/>
    </xf>
    <xf numFmtId="165" fontId="15" fillId="2" borderId="1" xfId="1" applyNumberFormat="1" applyFont="1" applyFill="1" applyBorder="1" applyAlignment="1">
      <alignment horizontal="right"/>
    </xf>
    <xf numFmtId="165" fontId="15" fillId="2" borderId="0" xfId="1" applyNumberFormat="1" applyFont="1" applyFill="1" applyAlignment="1">
      <alignment horizontal="right"/>
    </xf>
    <xf numFmtId="165" fontId="15" fillId="2" borderId="7" xfId="1" applyNumberFormat="1" applyFont="1" applyFill="1" applyBorder="1" applyAlignment="1">
      <alignment horizontal="right"/>
    </xf>
    <xf numFmtId="167" fontId="8" fillId="2" borderId="1" xfId="1" applyNumberFormat="1" applyFont="1" applyFill="1" applyBorder="1" applyAlignment="1">
      <alignment horizontal="center"/>
    </xf>
    <xf numFmtId="167" fontId="8" fillId="2" borderId="0" xfId="1" applyNumberFormat="1" applyFont="1" applyFill="1" applyAlignment="1">
      <alignment horizontal="center"/>
    </xf>
    <xf numFmtId="167" fontId="8" fillId="2" borderId="7" xfId="1" applyNumberFormat="1" applyFont="1" applyFill="1" applyBorder="1" applyAlignment="1">
      <alignment horizontal="center"/>
    </xf>
    <xf numFmtId="167" fontId="10" fillId="2" borderId="3" xfId="1" applyNumberFormat="1" applyFont="1" applyFill="1" applyBorder="1" applyAlignment="1">
      <alignment horizontal="center"/>
    </xf>
    <xf numFmtId="167" fontId="9" fillId="2" borderId="2" xfId="0" applyNumberFormat="1" applyFont="1" applyFill="1" applyBorder="1" applyAlignment="1">
      <alignment horizontal="center"/>
    </xf>
    <xf numFmtId="167" fontId="9" fillId="2" borderId="8" xfId="0" applyNumberFormat="1" applyFont="1" applyFill="1" applyBorder="1" applyAlignment="1">
      <alignment horizontal="center"/>
    </xf>
    <xf numFmtId="167" fontId="9" fillId="2" borderId="0" xfId="0" applyNumberFormat="1" applyFont="1" applyFill="1" applyAlignment="1">
      <alignment horizontal="center"/>
    </xf>
    <xf numFmtId="167" fontId="9" fillId="2" borderId="7" xfId="0" applyNumberFormat="1" applyFont="1" applyFill="1" applyBorder="1" applyAlignment="1">
      <alignment horizontal="center"/>
    </xf>
    <xf numFmtId="167" fontId="9" fillId="2" borderId="0" xfId="1" applyNumberFormat="1" applyFont="1" applyFill="1" applyAlignment="1">
      <alignment horizontal="center"/>
    </xf>
    <xf numFmtId="167" fontId="9" fillId="2" borderId="7" xfId="1" applyNumberFormat="1" applyFont="1" applyFill="1" applyBorder="1" applyAlignment="1">
      <alignment horizontal="center"/>
    </xf>
    <xf numFmtId="167" fontId="9" fillId="2" borderId="2" xfId="1" applyNumberFormat="1" applyFont="1" applyFill="1" applyBorder="1" applyAlignment="1">
      <alignment horizontal="center"/>
    </xf>
    <xf numFmtId="167" fontId="9" fillId="2" borderId="8" xfId="1" applyNumberFormat="1" applyFont="1" applyFill="1" applyBorder="1" applyAlignment="1">
      <alignment horizontal="center"/>
    </xf>
    <xf numFmtId="167" fontId="9" fillId="2" borderId="1" xfId="0" applyNumberFormat="1" applyFont="1" applyFill="1" applyBorder="1" applyAlignment="1">
      <alignment horizontal="center"/>
    </xf>
    <xf numFmtId="167" fontId="25" fillId="2" borderId="0" xfId="1" applyNumberFormat="1" applyFont="1" applyFill="1" applyAlignment="1">
      <alignment horizontal="center"/>
    </xf>
    <xf numFmtId="167" fontId="25" fillId="2" borderId="7" xfId="1" applyNumberFormat="1" applyFont="1" applyFill="1" applyBorder="1" applyAlignment="1">
      <alignment horizontal="center"/>
    </xf>
    <xf numFmtId="0" fontId="0" fillId="7" borderId="1" xfId="0" applyFill="1" applyBorder="1"/>
    <xf numFmtId="164" fontId="10" fillId="7" borderId="1" xfId="0" applyNumberFormat="1" applyFont="1" applyFill="1" applyBorder="1"/>
    <xf numFmtId="0" fontId="10" fillId="7" borderId="0" xfId="0" applyFont="1" applyFill="1"/>
    <xf numFmtId="164" fontId="8" fillId="7" borderId="0" xfId="0" applyNumberFormat="1" applyFont="1" applyFill="1" applyAlignment="1">
      <alignment horizontal="center"/>
    </xf>
    <xf numFmtId="164" fontId="10" fillId="7" borderId="7" xfId="0" applyNumberFormat="1" applyFont="1" applyFill="1" applyBorder="1"/>
    <xf numFmtId="164" fontId="10" fillId="2" borderId="1" xfId="0" applyNumberFormat="1" applyFont="1" applyFill="1" applyBorder="1"/>
    <xf numFmtId="164" fontId="10" fillId="2" borderId="7" xfId="0" applyNumberFormat="1" applyFont="1" applyFill="1" applyBorder="1"/>
    <xf numFmtId="165" fontId="15" fillId="2" borderId="0" xfId="3" applyNumberFormat="1" applyFont="1" applyFill="1" applyAlignment="1">
      <alignment horizontal="right"/>
    </xf>
    <xf numFmtId="167" fontId="10" fillId="2" borderId="8" xfId="0" applyNumberFormat="1" applyFont="1" applyFill="1" applyBorder="1" applyAlignment="1">
      <alignment horizontal="center"/>
    </xf>
    <xf numFmtId="167" fontId="10" fillId="2" borderId="2" xfId="1" applyNumberFormat="1" applyFont="1" applyFill="1" applyBorder="1" applyAlignment="1">
      <alignment horizontal="center"/>
    </xf>
    <xf numFmtId="167" fontId="10" fillId="2" borderId="8" xfId="1" applyNumberFormat="1" applyFont="1" applyFill="1" applyBorder="1" applyAlignment="1">
      <alignment horizontal="center"/>
    </xf>
    <xf numFmtId="164" fontId="10" fillId="7" borderId="0" xfId="0" applyNumberFormat="1" applyFont="1" applyFill="1"/>
    <xf numFmtId="164" fontId="10" fillId="2" borderId="0" xfId="0" applyNumberFormat="1" applyFont="1" applyFill="1"/>
    <xf numFmtId="167" fontId="25" fillId="0" borderId="0" xfId="1" applyNumberFormat="1" applyFont="1" applyAlignment="1">
      <alignment horizontal="center"/>
    </xf>
    <xf numFmtId="167" fontId="10" fillId="2" borderId="3" xfId="0" applyNumberFormat="1" applyFont="1" applyFill="1" applyBorder="1" applyAlignment="1">
      <alignment horizontal="center"/>
    </xf>
    <xf numFmtId="167" fontId="9" fillId="2" borderId="12" xfId="0" applyNumberFormat="1" applyFont="1" applyFill="1" applyBorder="1" applyAlignment="1">
      <alignment horizontal="center"/>
    </xf>
    <xf numFmtId="0" fontId="3" fillId="7" borderId="1" xfId="0" applyFont="1" applyFill="1" applyBorder="1"/>
    <xf numFmtId="0" fontId="3" fillId="7" borderId="0" xfId="0" applyFont="1" applyFill="1"/>
    <xf numFmtId="0" fontId="8" fillId="7" borderId="1" xfId="0" applyFont="1" applyFill="1" applyBorder="1" applyAlignment="1">
      <alignment horizontal="center"/>
    </xf>
    <xf numFmtId="0" fontId="8" fillId="7" borderId="0" xfId="0" applyFont="1" applyFill="1"/>
    <xf numFmtId="14" fontId="8" fillId="7" borderId="0" xfId="0" applyNumberFormat="1" applyFont="1" applyFill="1" applyAlignment="1">
      <alignment horizontal="center"/>
    </xf>
    <xf numFmtId="0" fontId="8" fillId="7" borderId="7" xfId="0" applyFont="1" applyFill="1" applyBorder="1" applyAlignment="1">
      <alignment horizontal="center"/>
    </xf>
    <xf numFmtId="0" fontId="8" fillId="2" borderId="2" xfId="0" applyFont="1" applyFill="1" applyBorder="1" applyAlignment="1">
      <alignment horizontal="left"/>
    </xf>
    <xf numFmtId="170" fontId="26" fillId="0" borderId="0" xfId="1" applyNumberFormat="1" applyFont="1"/>
    <xf numFmtId="0" fontId="26" fillId="0" borderId="0" xfId="1" applyNumberFormat="1" applyFont="1"/>
    <xf numFmtId="170" fontId="27" fillId="0" borderId="0" xfId="1" applyNumberFormat="1" applyFont="1"/>
    <xf numFmtId="170" fontId="10" fillId="0" borderId="0" xfId="1" applyNumberFormat="1" applyFont="1"/>
    <xf numFmtId="0" fontId="10" fillId="0" borderId="0" xfId="1" applyNumberFormat="1" applyFont="1"/>
    <xf numFmtId="166" fontId="8" fillId="0" borderId="10" xfId="4" applyNumberFormat="1" applyFont="1" applyBorder="1"/>
    <xf numFmtId="166" fontId="8" fillId="0" borderId="0" xfId="4" applyNumberFormat="1" applyFont="1"/>
    <xf numFmtId="170" fontId="8" fillId="0" borderId="0" xfId="1" applyNumberFormat="1" applyFont="1"/>
    <xf numFmtId="0" fontId="8" fillId="0" borderId="0" xfId="1" applyNumberFormat="1" applyFont="1" applyAlignment="1">
      <alignment horizontal="left"/>
    </xf>
    <xf numFmtId="166" fontId="10" fillId="0" borderId="13" xfId="1" applyNumberFormat="1" applyFont="1" applyBorder="1"/>
    <xf numFmtId="166" fontId="10" fillId="0" borderId="0" xfId="1" applyNumberFormat="1" applyFont="1"/>
    <xf numFmtId="166" fontId="10" fillId="0" borderId="0" xfId="1" applyNumberFormat="1" applyFont="1" applyAlignment="1">
      <alignment horizontal="left"/>
    </xf>
    <xf numFmtId="170" fontId="10" fillId="0" borderId="0" xfId="1" applyNumberFormat="1" applyFont="1" applyAlignment="1">
      <alignment horizontal="left"/>
    </xf>
    <xf numFmtId="0" fontId="10" fillId="0" borderId="0" xfId="1" applyNumberFormat="1" applyFont="1" applyAlignment="1">
      <alignment horizontal="left" wrapText="1" indent="1"/>
    </xf>
    <xf numFmtId="166" fontId="10" fillId="0" borderId="0" xfId="1" applyNumberFormat="1" applyFont="1" applyAlignment="1">
      <alignment vertical="top"/>
    </xf>
    <xf numFmtId="166" fontId="10" fillId="0" borderId="0" xfId="1" applyNumberFormat="1" applyFont="1" applyAlignment="1">
      <alignment horizontal="left" vertical="top"/>
    </xf>
    <xf numFmtId="170" fontId="10" fillId="0" borderId="0" xfId="1" applyNumberFormat="1" applyFont="1" applyAlignment="1">
      <alignment horizontal="left" vertical="top"/>
    </xf>
    <xf numFmtId="0" fontId="10" fillId="0" borderId="0" xfId="1" applyNumberFormat="1" applyFont="1" applyAlignment="1">
      <alignment horizontal="left" vertical="top" wrapText="1"/>
    </xf>
    <xf numFmtId="167" fontId="10" fillId="0" borderId="0" xfId="1" applyNumberFormat="1" applyFont="1"/>
    <xf numFmtId="0" fontId="10" fillId="0" borderId="0" xfId="1" applyNumberFormat="1" applyFont="1" applyAlignment="1">
      <alignment horizontal="left"/>
    </xf>
    <xf numFmtId="0" fontId="10" fillId="0" borderId="0" xfId="1" applyNumberFormat="1" applyFont="1" applyAlignment="1">
      <alignment horizontal="left" wrapText="1"/>
    </xf>
    <xf numFmtId="167" fontId="10" fillId="0" borderId="0" xfId="1" applyNumberFormat="1" applyFont="1" applyAlignment="1">
      <alignment vertical="top"/>
    </xf>
    <xf numFmtId="167" fontId="8" fillId="0" borderId="0" xfId="1" applyNumberFormat="1" applyFont="1"/>
    <xf numFmtId="170" fontId="8" fillId="0" borderId="0" xfId="1" applyNumberFormat="1" applyFont="1" applyAlignment="1">
      <alignment horizontal="left"/>
    </xf>
    <xf numFmtId="0" fontId="8" fillId="0" borderId="0" xfId="1" applyNumberFormat="1" applyFont="1" applyAlignment="1">
      <alignment horizontal="left" wrapText="1"/>
    </xf>
    <xf numFmtId="167" fontId="10" fillId="0" borderId="13" xfId="1" applyNumberFormat="1" applyFont="1" applyBorder="1"/>
    <xf numFmtId="0" fontId="10" fillId="0" borderId="0" xfId="1" applyNumberFormat="1" applyFont="1" applyAlignment="1">
      <alignment wrapText="1"/>
    </xf>
    <xf numFmtId="170" fontId="10" fillId="0" borderId="0" xfId="1" applyNumberFormat="1" applyFont="1" applyAlignment="1">
      <alignment vertical="top"/>
    </xf>
    <xf numFmtId="0" fontId="10" fillId="0" borderId="0" xfId="1" applyNumberFormat="1" applyFont="1" applyAlignment="1">
      <alignment vertical="top" wrapText="1"/>
    </xf>
    <xf numFmtId="167" fontId="10" fillId="0" borderId="0" xfId="1" applyNumberFormat="1" applyFont="1" applyAlignment="1">
      <alignment horizontal="left"/>
    </xf>
    <xf numFmtId="167" fontId="10" fillId="0" borderId="2" xfId="1" applyNumberFormat="1" applyFont="1" applyBorder="1"/>
    <xf numFmtId="167" fontId="10" fillId="0" borderId="18" xfId="1" applyNumberFormat="1" applyFont="1" applyBorder="1"/>
    <xf numFmtId="0" fontId="10" fillId="0" borderId="0" xfId="1" applyNumberFormat="1" applyFont="1" applyAlignment="1">
      <alignment horizontal="left" indent="3"/>
    </xf>
    <xf numFmtId="0" fontId="10" fillId="0" borderId="0" xfId="1" applyNumberFormat="1" applyFont="1" applyAlignment="1">
      <alignment horizontal="left" indent="1"/>
    </xf>
    <xf numFmtId="167" fontId="8" fillId="0" borderId="18" xfId="1" applyNumberFormat="1" applyFont="1" applyBorder="1"/>
    <xf numFmtId="167" fontId="8" fillId="0" borderId="0" xfId="1" applyNumberFormat="1" applyFont="1" applyAlignment="1">
      <alignment horizontal="left"/>
    </xf>
    <xf numFmtId="0" fontId="8" fillId="0" borderId="0" xfId="1" applyNumberFormat="1" applyFont="1" applyAlignment="1">
      <alignment horizontal="left" indent="3"/>
    </xf>
    <xf numFmtId="169" fontId="8" fillId="0" borderId="0" xfId="4" applyNumberFormat="1" applyFont="1"/>
    <xf numFmtId="169" fontId="8" fillId="0" borderId="0" xfId="1" applyNumberFormat="1" applyFont="1"/>
    <xf numFmtId="0" fontId="8" fillId="0" borderId="0" xfId="1" applyNumberFormat="1" applyFont="1" applyAlignment="1">
      <alignment horizontal="left" indent="1"/>
    </xf>
    <xf numFmtId="170" fontId="23" fillId="0" borderId="0" xfId="1" applyNumberFormat="1" applyFont="1"/>
    <xf numFmtId="170" fontId="6" fillId="0" borderId="0" xfId="1" applyNumberFormat="1" applyFont="1"/>
    <xf numFmtId="170" fontId="4" fillId="0" borderId="0" xfId="1" applyNumberFormat="1" applyFont="1"/>
    <xf numFmtId="0" fontId="25" fillId="0" borderId="0" xfId="1" applyNumberFormat="1" applyFont="1"/>
    <xf numFmtId="0" fontId="14" fillId="2" borderId="0" xfId="0" applyFont="1" applyFill="1"/>
    <xf numFmtId="0" fontId="14" fillId="2" borderId="7" xfId="0" applyFont="1" applyFill="1" applyBorder="1"/>
    <xf numFmtId="165" fontId="9" fillId="2" borderId="3" xfId="1" applyNumberFormat="1" applyFont="1" applyFill="1" applyBorder="1" applyAlignment="1">
      <alignment horizontal="right"/>
    </xf>
    <xf numFmtId="165" fontId="9" fillId="2" borderId="2" xfId="1" applyNumberFormat="1" applyFont="1" applyFill="1" applyBorder="1" applyAlignment="1">
      <alignment horizontal="right"/>
    </xf>
    <xf numFmtId="165" fontId="10" fillId="2" borderId="8" xfId="0" applyNumberFormat="1" applyFont="1" applyFill="1" applyBorder="1" applyAlignment="1">
      <alignment horizontal="right"/>
    </xf>
    <xf numFmtId="165" fontId="9" fillId="2" borderId="8" xfId="1" applyNumberFormat="1" applyFont="1" applyFill="1" applyBorder="1" applyAlignment="1">
      <alignment horizontal="right"/>
    </xf>
    <xf numFmtId="165" fontId="25" fillId="2" borderId="1" xfId="1" applyNumberFormat="1" applyFont="1" applyFill="1" applyBorder="1" applyAlignment="1">
      <alignment horizontal="right"/>
    </xf>
    <xf numFmtId="165" fontId="25" fillId="2" borderId="0" xfId="1" applyNumberFormat="1" applyFont="1" applyFill="1" applyAlignment="1">
      <alignment horizontal="right"/>
    </xf>
    <xf numFmtId="165" fontId="25" fillId="2" borderId="7" xfId="1" applyNumberFormat="1" applyFont="1" applyFill="1" applyBorder="1" applyAlignment="1">
      <alignment horizontal="right"/>
    </xf>
    <xf numFmtId="165" fontId="9" fillId="2" borderId="0" xfId="0" applyNumberFormat="1" applyFont="1" applyFill="1" applyAlignment="1">
      <alignment horizontal="right"/>
    </xf>
    <xf numFmtId="0" fontId="10" fillId="2" borderId="0" xfId="0" applyFont="1" applyFill="1" applyAlignment="1">
      <alignment vertical="top" wrapText="1"/>
    </xf>
    <xf numFmtId="165" fontId="9" fillId="2" borderId="1" xfId="1" applyNumberFormat="1" applyFont="1" applyFill="1" applyBorder="1" applyAlignment="1">
      <alignment horizontal="right"/>
    </xf>
    <xf numFmtId="165" fontId="9" fillId="2" borderId="0" xfId="1" applyNumberFormat="1" applyFont="1" applyFill="1" applyAlignment="1">
      <alignment horizontal="right"/>
    </xf>
    <xf numFmtId="165" fontId="9" fillId="2" borderId="7" xfId="1" applyNumberFormat="1" applyFont="1" applyFill="1" applyBorder="1" applyAlignment="1">
      <alignment horizontal="right"/>
    </xf>
    <xf numFmtId="165" fontId="25" fillId="2" borderId="0" xfId="0" applyNumberFormat="1" applyFont="1" applyFill="1" applyAlignment="1">
      <alignment horizontal="right"/>
    </xf>
    <xf numFmtId="165" fontId="9" fillId="2" borderId="2" xfId="0" applyNumberFormat="1" applyFont="1" applyFill="1" applyBorder="1" applyAlignment="1">
      <alignment horizontal="right"/>
    </xf>
    <xf numFmtId="165" fontId="9" fillId="7" borderId="1" xfId="1" applyNumberFormat="1" applyFont="1" applyFill="1" applyBorder="1"/>
    <xf numFmtId="165" fontId="9" fillId="7" borderId="0" xfId="0" applyNumberFormat="1" applyFont="1" applyFill="1"/>
    <xf numFmtId="165" fontId="9" fillId="7" borderId="0" xfId="1" applyNumberFormat="1" applyFont="1" applyFill="1" applyAlignment="1">
      <alignment horizontal="center"/>
    </xf>
    <xf numFmtId="165" fontId="9" fillId="7" borderId="7" xfId="1" applyNumberFormat="1" applyFont="1" applyFill="1" applyBorder="1"/>
    <xf numFmtId="165" fontId="9" fillId="2" borderId="1" xfId="1" applyNumberFormat="1" applyFont="1" applyFill="1" applyBorder="1"/>
    <xf numFmtId="165" fontId="9" fillId="2" borderId="0" xfId="0" applyNumberFormat="1" applyFont="1" applyFill="1"/>
    <xf numFmtId="165" fontId="9" fillId="2" borderId="0" xfId="1" applyNumberFormat="1" applyFont="1" applyFill="1" applyAlignment="1">
      <alignment horizontal="center"/>
    </xf>
    <xf numFmtId="165" fontId="9" fillId="2" borderId="7" xfId="1" applyNumberFormat="1" applyFont="1" applyFill="1" applyBorder="1"/>
    <xf numFmtId="165" fontId="9" fillId="7" borderId="1" xfId="0" applyNumberFormat="1" applyFont="1" applyFill="1" applyBorder="1"/>
    <xf numFmtId="165" fontId="9" fillId="7" borderId="7" xfId="0" applyNumberFormat="1" applyFont="1" applyFill="1" applyBorder="1"/>
    <xf numFmtId="165" fontId="9" fillId="2" borderId="1" xfId="0" applyNumberFormat="1" applyFont="1" applyFill="1" applyBorder="1"/>
    <xf numFmtId="165" fontId="9" fillId="2" borderId="0" xfId="0" applyNumberFormat="1" applyFont="1" applyFill="1" applyAlignment="1">
      <alignment horizontal="center"/>
    </xf>
    <xf numFmtId="165" fontId="9" fillId="2" borderId="7" xfId="0" applyNumberFormat="1" applyFont="1" applyFill="1" applyBorder="1"/>
    <xf numFmtId="165" fontId="10" fillId="2" borderId="1" xfId="1" applyNumberFormat="1" applyFont="1" applyFill="1" applyBorder="1" applyAlignment="1">
      <alignment horizontal="right"/>
    </xf>
    <xf numFmtId="165" fontId="10" fillId="2" borderId="0" xfId="1" applyNumberFormat="1" applyFont="1" applyFill="1" applyAlignment="1">
      <alignment horizontal="right"/>
    </xf>
    <xf numFmtId="165" fontId="10" fillId="2" borderId="7" xfId="1" applyNumberFormat="1" applyFont="1" applyFill="1" applyBorder="1" applyAlignment="1">
      <alignment horizontal="right"/>
    </xf>
    <xf numFmtId="165" fontId="9" fillId="2" borderId="0" xfId="3" applyNumberFormat="1" applyFont="1" applyFill="1" applyAlignment="1">
      <alignment horizontal="right"/>
    </xf>
    <xf numFmtId="0" fontId="9" fillId="7" borderId="1" xfId="0" applyFont="1" applyFill="1" applyBorder="1"/>
    <xf numFmtId="0" fontId="9" fillId="7" borderId="0" xfId="0" applyFont="1" applyFill="1"/>
    <xf numFmtId="0" fontId="9" fillId="7" borderId="0" xfId="0" applyFont="1" applyFill="1" applyAlignment="1">
      <alignment horizontal="center"/>
    </xf>
    <xf numFmtId="0" fontId="9" fillId="7" borderId="7" xfId="0" applyFont="1" applyFill="1" applyBorder="1"/>
    <xf numFmtId="0" fontId="13" fillId="2" borderId="0" xfId="0" quotePrefix="1" applyFont="1" applyFill="1" applyAlignment="1">
      <alignment horizontal="left" vertical="top"/>
    </xf>
    <xf numFmtId="167" fontId="9" fillId="2" borderId="0" xfId="0" applyNumberFormat="1" applyFont="1" applyFill="1" applyAlignment="1">
      <alignment horizontal="right"/>
    </xf>
    <xf numFmtId="167" fontId="9" fillId="2" borderId="0" xfId="0" applyNumberFormat="1" applyFont="1" applyFill="1"/>
    <xf numFmtId="0" fontId="0" fillId="7" borderId="3" xfId="0" applyFill="1" applyBorder="1"/>
    <xf numFmtId="0" fontId="0" fillId="7" borderId="2" xfId="0" applyFill="1" applyBorder="1"/>
    <xf numFmtId="167" fontId="9" fillId="2" borderId="7" xfId="0" applyNumberFormat="1" applyFont="1" applyFill="1" applyBorder="1"/>
    <xf numFmtId="167" fontId="9" fillId="2" borderId="3" xfId="1" applyNumberFormat="1" applyFont="1" applyFill="1" applyBorder="1"/>
    <xf numFmtId="167" fontId="9" fillId="2" borderId="2" xfId="1" applyNumberFormat="1" applyFont="1" applyFill="1" applyBorder="1"/>
    <xf numFmtId="167" fontId="9" fillId="2" borderId="8" xfId="1" applyNumberFormat="1" applyFont="1" applyFill="1" applyBorder="1"/>
    <xf numFmtId="167" fontId="9" fillId="2" borderId="2" xfId="0" applyNumberFormat="1" applyFont="1" applyFill="1" applyBorder="1"/>
    <xf numFmtId="167" fontId="9" fillId="2" borderId="7" xfId="1" applyNumberFormat="1" applyFont="1" applyFill="1" applyBorder="1"/>
    <xf numFmtId="167" fontId="10" fillId="7" borderId="1" xfId="1" applyNumberFormat="1" applyFont="1" applyFill="1" applyBorder="1"/>
    <xf numFmtId="167" fontId="9" fillId="7" borderId="0" xfId="0" applyNumberFormat="1" applyFont="1" applyFill="1"/>
    <xf numFmtId="167" fontId="9" fillId="7" borderId="0" xfId="1" applyNumberFormat="1" applyFont="1" applyFill="1" applyAlignment="1">
      <alignment horizontal="center"/>
    </xf>
    <xf numFmtId="167" fontId="9" fillId="7" borderId="7" xfId="1" applyNumberFormat="1" applyFont="1" applyFill="1" applyBorder="1"/>
    <xf numFmtId="167" fontId="10" fillId="7" borderId="7" xfId="1" applyNumberFormat="1" applyFont="1" applyFill="1" applyBorder="1"/>
    <xf numFmtId="167" fontId="10" fillId="2" borderId="1" xfId="1" applyNumberFormat="1" applyFont="1" applyFill="1" applyBorder="1"/>
    <xf numFmtId="167" fontId="10" fillId="2" borderId="7" xfId="1" applyNumberFormat="1" applyFont="1" applyFill="1" applyBorder="1"/>
    <xf numFmtId="167" fontId="9" fillId="2" borderId="0" xfId="1" applyNumberFormat="1" applyFont="1" applyFill="1"/>
    <xf numFmtId="167" fontId="25" fillId="2" borderId="0" xfId="1" applyNumberFormat="1" applyFont="1" applyFill="1"/>
    <xf numFmtId="167" fontId="25" fillId="2" borderId="7" xfId="1" applyNumberFormat="1" applyFont="1" applyFill="1" applyBorder="1"/>
    <xf numFmtId="167" fontId="8" fillId="2" borderId="7" xfId="1" applyNumberFormat="1" applyFont="1" applyFill="1" applyBorder="1"/>
    <xf numFmtId="0" fontId="0" fillId="7" borderId="16" xfId="0" applyFill="1" applyBorder="1"/>
    <xf numFmtId="165" fontId="16" fillId="2" borderId="3" xfId="3" applyNumberFormat="1" applyFont="1" applyFill="1" applyBorder="1"/>
    <xf numFmtId="165" fontId="16" fillId="2" borderId="2" xfId="3" applyNumberFormat="1" applyFont="1" applyFill="1" applyBorder="1"/>
    <xf numFmtId="165" fontId="16" fillId="2" borderId="8" xfId="3" applyNumberFormat="1" applyFont="1" applyFill="1" applyBorder="1"/>
    <xf numFmtId="0" fontId="16" fillId="2" borderId="2" xfId="0" applyFont="1" applyFill="1" applyBorder="1" applyAlignment="1">
      <alignment horizontal="left" vertical="top" wrapText="1"/>
    </xf>
    <xf numFmtId="167" fontId="16" fillId="2" borderId="16" xfId="0" applyNumberFormat="1" applyFont="1" applyFill="1" applyBorder="1"/>
    <xf numFmtId="167" fontId="16" fillId="2" borderId="13" xfId="0" applyNumberFormat="1" applyFont="1" applyFill="1" applyBorder="1"/>
    <xf numFmtId="167" fontId="16" fillId="2" borderId="12" xfId="0" applyNumberFormat="1" applyFont="1" applyFill="1" applyBorder="1"/>
    <xf numFmtId="0" fontId="16" fillId="2" borderId="13" xfId="0" applyFont="1" applyFill="1" applyBorder="1" applyAlignment="1">
      <alignment horizontal="left" vertical="top" wrapText="1"/>
    </xf>
    <xf numFmtId="167" fontId="16" fillId="2" borderId="3" xfId="0" applyNumberFormat="1" applyFont="1" applyFill="1" applyBorder="1"/>
    <xf numFmtId="167" fontId="16" fillId="2" borderId="2" xfId="0" applyNumberFormat="1" applyFont="1" applyFill="1" applyBorder="1"/>
    <xf numFmtId="167" fontId="16" fillId="2" borderId="8" xfId="0" applyNumberFormat="1" applyFont="1" applyFill="1" applyBorder="1"/>
    <xf numFmtId="167" fontId="16" fillId="2" borderId="1" xfId="0" applyNumberFormat="1" applyFont="1" applyFill="1" applyBorder="1"/>
    <xf numFmtId="167" fontId="16" fillId="2" borderId="0" xfId="0" applyNumberFormat="1" applyFont="1" applyFill="1"/>
    <xf numFmtId="167" fontId="16" fillId="2" borderId="7" xfId="0" applyNumberFormat="1" applyFont="1" applyFill="1" applyBorder="1"/>
    <xf numFmtId="0" fontId="16" fillId="2" borderId="0" xfId="0" applyFont="1" applyFill="1" applyAlignment="1">
      <alignment horizontal="left" vertical="top" wrapText="1"/>
    </xf>
    <xf numFmtId="0" fontId="12" fillId="7" borderId="1" xfId="0" applyFont="1" applyFill="1" applyBorder="1" applyAlignment="1">
      <alignment horizontal="left" vertical="top"/>
    </xf>
    <xf numFmtId="0" fontId="12" fillId="7" borderId="0" xfId="0" applyFont="1" applyFill="1" applyAlignment="1">
      <alignment horizontal="left" vertical="top"/>
    </xf>
    <xf numFmtId="0" fontId="12" fillId="7" borderId="7" xfId="0" applyFont="1" applyFill="1" applyBorder="1" applyAlignment="1">
      <alignment horizontal="left" vertical="top"/>
    </xf>
    <xf numFmtId="0" fontId="12" fillId="7" borderId="0" xfId="0" applyFont="1" applyFill="1" applyAlignment="1">
      <alignment horizontal="left" vertical="top" wrapText="1"/>
    </xf>
    <xf numFmtId="165" fontId="16" fillId="2" borderId="1" xfId="3" applyNumberFormat="1" applyFont="1" applyFill="1" applyBorder="1"/>
    <xf numFmtId="165" fontId="16" fillId="2" borderId="0" xfId="3" applyNumberFormat="1" applyFont="1" applyFill="1"/>
    <xf numFmtId="165" fontId="16" fillId="2" borderId="7" xfId="3" applyNumberFormat="1" applyFont="1" applyFill="1" applyBorder="1"/>
    <xf numFmtId="165" fontId="16" fillId="2" borderId="0" xfId="3" applyNumberFormat="1" applyFont="1" applyFill="1" applyAlignment="1">
      <alignment horizontal="right"/>
    </xf>
    <xf numFmtId="165" fontId="10" fillId="2" borderId="0" xfId="3" applyNumberFormat="1" applyFont="1" applyFill="1"/>
    <xf numFmtId="0" fontId="17" fillId="2" borderId="0" xfId="0" applyFont="1" applyFill="1" applyAlignment="1">
      <alignment horizontal="left" vertical="top"/>
    </xf>
    <xf numFmtId="44" fontId="8" fillId="2" borderId="1" xfId="4" applyFont="1" applyFill="1" applyBorder="1" applyAlignment="1">
      <alignment horizontal="right"/>
    </xf>
    <xf numFmtId="44" fontId="8" fillId="2" borderId="0" xfId="4" applyFont="1" applyFill="1" applyAlignment="1">
      <alignment horizontal="right"/>
    </xf>
    <xf numFmtId="44" fontId="8" fillId="2" borderId="7" xfId="4" applyFont="1" applyFill="1" applyBorder="1" applyAlignment="1">
      <alignment horizontal="right"/>
    </xf>
    <xf numFmtId="44" fontId="8" fillId="2" borderId="0" xfId="4" applyFont="1" applyFill="1"/>
    <xf numFmtId="167" fontId="29" fillId="2" borderId="1" xfId="0" applyNumberFormat="1" applyFont="1" applyFill="1" applyBorder="1" applyAlignment="1">
      <alignment horizontal="center"/>
    </xf>
    <xf numFmtId="167" fontId="29" fillId="2" borderId="0" xfId="0" applyNumberFormat="1" applyFont="1" applyFill="1" applyAlignment="1">
      <alignment horizontal="center"/>
    </xf>
    <xf numFmtId="167" fontId="29" fillId="2" borderId="7" xfId="0" applyNumberFormat="1" applyFont="1" applyFill="1" applyBorder="1" applyAlignment="1">
      <alignment horizontal="center"/>
    </xf>
    <xf numFmtId="167" fontId="8" fillId="2" borderId="1" xfId="0" applyNumberFormat="1" applyFont="1" applyFill="1" applyBorder="1" applyAlignment="1">
      <alignment horizontal="center"/>
    </xf>
    <xf numFmtId="167" fontId="8" fillId="2" borderId="7" xfId="0" applyNumberFormat="1" applyFont="1" applyFill="1" applyBorder="1" applyAlignment="1">
      <alignment horizontal="center"/>
    </xf>
    <xf numFmtId="167" fontId="8" fillId="2" borderId="15" xfId="0" applyNumberFormat="1" applyFont="1" applyFill="1" applyBorder="1" applyAlignment="1">
      <alignment horizontal="center"/>
    </xf>
    <xf numFmtId="167" fontId="8" fillId="2" borderId="4" xfId="0" applyNumberFormat="1" applyFont="1" applyFill="1" applyBorder="1" applyAlignment="1">
      <alignment horizontal="center"/>
    </xf>
    <xf numFmtId="167" fontId="8" fillId="2" borderId="9" xfId="0" applyNumberFormat="1" applyFont="1" applyFill="1" applyBorder="1" applyAlignment="1">
      <alignment horizontal="center"/>
    </xf>
    <xf numFmtId="0" fontId="8" fillId="2" borderId="4" xfId="0" applyFont="1" applyFill="1" applyBorder="1" applyAlignment="1">
      <alignment horizontal="left" vertical="top" wrapText="1"/>
    </xf>
    <xf numFmtId="167" fontId="10" fillId="2" borderId="12" xfId="0" applyNumberFormat="1" applyFont="1" applyFill="1" applyBorder="1" applyAlignment="1">
      <alignment horizontal="center"/>
    </xf>
    <xf numFmtId="167" fontId="10" fillId="2" borderId="20" xfId="0" applyNumberFormat="1" applyFont="1" applyFill="1" applyBorder="1" applyAlignment="1">
      <alignment horizontal="center"/>
    </xf>
    <xf numFmtId="165" fontId="10" fillId="2" borderId="3" xfId="0" applyNumberFormat="1" applyFont="1" applyFill="1" applyBorder="1" applyAlignment="1">
      <alignment horizontal="right"/>
    </xf>
    <xf numFmtId="165" fontId="10" fillId="2" borderId="2" xfId="0" applyNumberFormat="1" applyFont="1" applyFill="1" applyBorder="1" applyAlignment="1">
      <alignment horizontal="right"/>
    </xf>
    <xf numFmtId="0" fontId="8" fillId="7" borderId="3" xfId="0" applyFont="1" applyFill="1" applyBorder="1" applyAlignment="1">
      <alignment horizontal="left" vertical="top"/>
    </xf>
    <xf numFmtId="0" fontId="8" fillId="7" borderId="2" xfId="0" applyFont="1" applyFill="1" applyBorder="1" applyAlignment="1">
      <alignment horizontal="left" vertical="top"/>
    </xf>
    <xf numFmtId="0" fontId="8" fillId="7" borderId="8" xfId="0" applyFont="1" applyFill="1" applyBorder="1" applyAlignment="1">
      <alignment horizontal="left" vertical="top"/>
    </xf>
    <xf numFmtId="0" fontId="8" fillId="7" borderId="2" xfId="0" applyFont="1" applyFill="1" applyBorder="1" applyAlignment="1">
      <alignment horizontal="left" vertical="top" wrapText="1"/>
    </xf>
    <xf numFmtId="44" fontId="10" fillId="2" borderId="1" xfId="4" applyFont="1" applyFill="1" applyBorder="1" applyAlignment="1">
      <alignment horizontal="right"/>
    </xf>
    <xf numFmtId="44" fontId="10" fillId="2" borderId="0" xfId="4" applyFont="1" applyFill="1" applyAlignment="1">
      <alignment horizontal="right"/>
    </xf>
    <xf numFmtId="44" fontId="10" fillId="2" borderId="7" xfId="4" applyFont="1" applyFill="1" applyBorder="1" applyAlignment="1">
      <alignment horizontal="right"/>
    </xf>
    <xf numFmtId="167" fontId="9" fillId="2" borderId="3" xfId="0" applyNumberFormat="1" applyFont="1" applyFill="1" applyBorder="1" applyAlignment="1">
      <alignment horizontal="center"/>
    </xf>
    <xf numFmtId="167" fontId="9" fillId="2" borderId="1" xfId="0" applyNumberFormat="1" applyFont="1" applyFill="1" applyBorder="1"/>
    <xf numFmtId="44" fontId="9" fillId="2" borderId="1" xfId="4" applyFont="1" applyFill="1" applyBorder="1" applyAlignment="1">
      <alignment horizontal="right"/>
    </xf>
    <xf numFmtId="44" fontId="9" fillId="2" borderId="0" xfId="4" applyFont="1" applyFill="1" applyAlignment="1">
      <alignment horizontal="right"/>
    </xf>
    <xf numFmtId="44" fontId="9" fillId="2" borderId="7" xfId="4" applyFont="1" applyFill="1" applyBorder="1" applyAlignment="1">
      <alignment horizontal="right"/>
    </xf>
    <xf numFmtId="167" fontId="9" fillId="0" borderId="1" xfId="0" applyNumberFormat="1" applyFont="1" applyBorder="1" applyAlignment="1">
      <alignment horizontal="right"/>
    </xf>
    <xf numFmtId="167" fontId="9" fillId="2" borderId="7" xfId="0" applyNumberFormat="1" applyFont="1" applyFill="1" applyBorder="1" applyAlignment="1">
      <alignment horizontal="right"/>
    </xf>
    <xf numFmtId="167" fontId="8" fillId="0" borderId="1" xfId="0" applyNumberFormat="1" applyFont="1" applyBorder="1" applyAlignment="1">
      <alignment horizontal="center"/>
    </xf>
    <xf numFmtId="167" fontId="30" fillId="2" borderId="1" xfId="0" applyNumberFormat="1" applyFont="1" applyFill="1" applyBorder="1" applyAlignment="1">
      <alignment horizontal="center"/>
    </xf>
    <xf numFmtId="167" fontId="30" fillId="2" borderId="0" xfId="0" applyNumberFormat="1" applyFont="1" applyFill="1" applyAlignment="1">
      <alignment horizontal="center"/>
    </xf>
    <xf numFmtId="167" fontId="30" fillId="2" borderId="7" xfId="0" applyNumberFormat="1" applyFont="1" applyFill="1" applyBorder="1" applyAlignment="1">
      <alignment horizontal="center"/>
    </xf>
    <xf numFmtId="0" fontId="29" fillId="2" borderId="0" xfId="0" applyFont="1" applyFill="1" applyAlignment="1">
      <alignment horizontal="center"/>
    </xf>
    <xf numFmtId="167" fontId="25" fillId="2" borderId="15" xfId="0" applyNumberFormat="1" applyFont="1" applyFill="1" applyBorder="1" applyAlignment="1">
      <alignment horizontal="center"/>
    </xf>
    <xf numFmtId="167" fontId="25" fillId="2" borderId="4" xfId="0" applyNumberFormat="1" applyFont="1" applyFill="1" applyBorder="1" applyAlignment="1">
      <alignment horizontal="center"/>
    </xf>
    <xf numFmtId="167" fontId="25" fillId="2" borderId="9" xfId="0" applyNumberFormat="1" applyFont="1" applyFill="1" applyBorder="1" applyAlignment="1">
      <alignment horizontal="center"/>
    </xf>
    <xf numFmtId="0" fontId="11" fillId="6" borderId="1" xfId="0" applyFont="1" applyFill="1" applyBorder="1" applyAlignment="1">
      <alignment horizontal="center"/>
    </xf>
    <xf numFmtId="0" fontId="8" fillId="2" borderId="0" xfId="0" applyFont="1" applyFill="1" applyAlignment="1">
      <alignment horizontal="centerContinuous"/>
    </xf>
    <xf numFmtId="0" fontId="8" fillId="2" borderId="0" xfId="0" applyFont="1" applyFill="1" applyAlignment="1">
      <alignment horizontal="center"/>
    </xf>
    <xf numFmtId="0" fontId="8" fillId="2" borderId="0" xfId="0" applyFont="1" applyFill="1"/>
    <xf numFmtId="14" fontId="11" fillId="6" borderId="2" xfId="0" applyNumberFormat="1" applyFont="1" applyFill="1" applyBorder="1" applyAlignment="1">
      <alignment horizontal="center" wrapText="1"/>
    </xf>
    <xf numFmtId="0" fontId="11" fillId="2" borderId="0" xfId="0" applyFont="1" applyFill="1"/>
    <xf numFmtId="0" fontId="11" fillId="6" borderId="2" xfId="0" applyFont="1" applyFill="1" applyBorder="1" applyAlignment="1">
      <alignment horizontal="center" wrapText="1"/>
    </xf>
    <xf numFmtId="0" fontId="11" fillId="2" borderId="0" xfId="0" applyFont="1" applyFill="1" applyAlignment="1">
      <alignment horizontal="center"/>
    </xf>
    <xf numFmtId="0" fontId="10" fillId="2" borderId="0" xfId="0" applyFont="1" applyFill="1" applyAlignment="1">
      <alignment horizontal="center"/>
    </xf>
    <xf numFmtId="169" fontId="25" fillId="2" borderId="0" xfId="0" applyNumberFormat="1" applyFont="1" applyFill="1" applyAlignment="1">
      <alignment horizontal="center"/>
    </xf>
    <xf numFmtId="169" fontId="8" fillId="2" borderId="0" xfId="0" applyNumberFormat="1" applyFont="1" applyFill="1" applyAlignment="1">
      <alignment horizontal="center"/>
    </xf>
    <xf numFmtId="167" fontId="25" fillId="2" borderId="0" xfId="0" applyNumberFormat="1" applyFont="1" applyFill="1" applyAlignment="1">
      <alignment horizontal="center"/>
    </xf>
    <xf numFmtId="164" fontId="8" fillId="2" borderId="0" xfId="0" applyNumberFormat="1" applyFont="1" applyFill="1" applyAlignment="1">
      <alignment horizontal="center"/>
    </xf>
    <xf numFmtId="164" fontId="31" fillId="2" borderId="0" xfId="0" applyNumberFormat="1" applyFont="1" applyFill="1" applyAlignment="1">
      <alignment horizontal="center"/>
    </xf>
    <xf numFmtId="164" fontId="9" fillId="2" borderId="2" xfId="0" applyNumberFormat="1" applyFont="1" applyFill="1" applyBorder="1" applyAlignment="1">
      <alignment horizontal="center"/>
    </xf>
    <xf numFmtId="169" fontId="25" fillId="2" borderId="4" xfId="0" applyNumberFormat="1" applyFont="1" applyFill="1" applyBorder="1" applyAlignment="1">
      <alignment horizontal="center"/>
    </xf>
    <xf numFmtId="167" fontId="9" fillId="0" borderId="0" xfId="0" applyNumberFormat="1" applyFont="1" applyAlignment="1">
      <alignment horizontal="center"/>
    </xf>
    <xf numFmtId="44" fontId="25" fillId="2" borderId="4" xfId="0" applyNumberFormat="1" applyFont="1" applyFill="1" applyBorder="1" applyAlignment="1">
      <alignment horizontal="center"/>
    </xf>
    <xf numFmtId="44" fontId="8" fillId="2" borderId="0" xfId="0" applyNumberFormat="1" applyFont="1" applyFill="1" applyAlignment="1">
      <alignment horizontal="center"/>
    </xf>
    <xf numFmtId="44" fontId="25" fillId="2" borderId="0" xfId="0" applyNumberFormat="1" applyFont="1" applyFill="1" applyAlignment="1">
      <alignment horizontal="center"/>
    </xf>
    <xf numFmtId="0" fontId="8" fillId="2" borderId="0" xfId="0" applyFont="1" applyFill="1" applyAlignment="1">
      <alignment horizontal="center"/>
    </xf>
    <xf numFmtId="0" fontId="0" fillId="2" borderId="0" xfId="0" applyFill="1"/>
    <xf numFmtId="0" fontId="0" fillId="2" borderId="0" xfId="0" applyFill="1"/>
    <xf numFmtId="0" fontId="10" fillId="2" borderId="0" xfId="0" applyFont="1" applyFill="1" applyAlignment="1">
      <alignment wrapText="1"/>
    </xf>
    <xf numFmtId="0" fontId="22" fillId="2" borderId="0" xfId="0" applyFont="1" applyFill="1" applyAlignment="1">
      <alignment wrapText="1"/>
    </xf>
    <xf numFmtId="167" fontId="9" fillId="2" borderId="0" xfId="0" applyNumberFormat="1" applyFont="1" applyFill="1" applyBorder="1" applyAlignment="1">
      <alignment horizontal="center"/>
    </xf>
    <xf numFmtId="0" fontId="10" fillId="2" borderId="0" xfId="0" applyFont="1" applyFill="1" applyBorder="1" applyAlignment="1">
      <alignment horizontal="center"/>
    </xf>
    <xf numFmtId="164" fontId="10" fillId="2" borderId="0" xfId="0" applyNumberFormat="1" applyFont="1" applyFill="1" applyBorder="1" applyAlignment="1">
      <alignment horizontal="center"/>
    </xf>
    <xf numFmtId="164" fontId="8" fillId="2" borderId="0" xfId="0" applyNumberFormat="1" applyFont="1" applyFill="1" applyBorder="1" applyAlignment="1">
      <alignment horizontal="center"/>
    </xf>
    <xf numFmtId="0" fontId="8" fillId="2" borderId="0" xfId="0" applyFont="1" applyFill="1" applyBorder="1" applyAlignment="1">
      <alignment horizontal="center"/>
    </xf>
    <xf numFmtId="0" fontId="8" fillId="6" borderId="0" xfId="0" applyNumberFormat="1" applyFont="1" applyFill="1" applyAlignment="1">
      <alignment horizontal="center"/>
    </xf>
    <xf numFmtId="0" fontId="11" fillId="6" borderId="0" xfId="0" applyNumberFormat="1" applyFont="1" applyFill="1" applyAlignment="1">
      <alignment horizontal="center"/>
    </xf>
    <xf numFmtId="0" fontId="11" fillId="6" borderId="2" xfId="1" quotePrefix="1" applyNumberFormat="1" applyFont="1" applyFill="1" applyBorder="1" applyAlignment="1">
      <alignment horizontal="center"/>
    </xf>
    <xf numFmtId="0" fontId="28" fillId="6" borderId="0" xfId="1" applyNumberFormat="1" applyFont="1" applyFill="1"/>
    <xf numFmtId="166" fontId="26" fillId="0" borderId="0" xfId="1" applyNumberFormat="1" applyFont="1"/>
    <xf numFmtId="167" fontId="10" fillId="0" borderId="0" xfId="1" applyNumberFormat="1" applyFont="1" applyAlignment="1">
      <alignment horizontal="left" vertical="top"/>
    </xf>
    <xf numFmtId="166" fontId="10" fillId="2" borderId="7" xfId="0" applyNumberFormat="1" applyFont="1" applyFill="1" applyBorder="1"/>
    <xf numFmtId="0" fontId="17" fillId="2" borderId="0" xfId="0" quotePrefix="1" applyFont="1" applyFill="1" applyAlignment="1">
      <alignment horizontal="left"/>
    </xf>
    <xf numFmtId="167" fontId="25" fillId="2" borderId="0" xfId="1" applyNumberFormat="1" applyFont="1" applyFill="1" applyBorder="1"/>
    <xf numFmtId="167" fontId="25" fillId="2" borderId="12" xfId="1" applyNumberFormat="1" applyFont="1" applyFill="1" applyBorder="1"/>
    <xf numFmtId="0" fontId="0" fillId="2" borderId="0" xfId="0" applyFill="1" applyBorder="1"/>
    <xf numFmtId="165" fontId="9" fillId="2" borderId="0" xfId="1" applyNumberFormat="1" applyFont="1" applyFill="1" applyBorder="1" applyAlignment="1">
      <alignment horizontal="right"/>
    </xf>
    <xf numFmtId="165" fontId="25" fillId="2" borderId="0" xfId="1" applyNumberFormat="1" applyFont="1" applyFill="1" applyBorder="1" applyAlignment="1">
      <alignment horizontal="right"/>
    </xf>
    <xf numFmtId="0" fontId="0" fillId="7" borderId="7" xfId="0" applyFill="1" applyBorder="1"/>
    <xf numFmtId="0" fontId="10" fillId="2" borderId="0" xfId="0" applyFont="1" applyFill="1" applyBorder="1" applyAlignment="1">
      <alignment horizontal="left" vertical="top" wrapText="1"/>
    </xf>
    <xf numFmtId="167" fontId="10" fillId="2" borderId="0" xfId="1" applyNumberFormat="1" applyFont="1" applyFill="1" applyBorder="1" applyAlignment="1">
      <alignment horizontal="center"/>
    </xf>
    <xf numFmtId="167" fontId="10" fillId="2" borderId="0" xfId="0" applyNumberFormat="1" applyFont="1" applyFill="1" applyBorder="1"/>
    <xf numFmtId="167" fontId="10" fillId="2" borderId="0" xfId="0" applyNumberFormat="1" applyFont="1" applyFill="1" applyBorder="1" applyAlignment="1">
      <alignment horizontal="center"/>
    </xf>
    <xf numFmtId="167" fontId="8" fillId="2" borderId="0" xfId="1" applyNumberFormat="1" applyFont="1" applyFill="1" applyBorder="1" applyAlignment="1">
      <alignment horizontal="center"/>
    </xf>
    <xf numFmtId="167" fontId="8" fillId="2" borderId="0" xfId="0" applyNumberFormat="1" applyFont="1" applyFill="1" applyBorder="1" applyAlignment="1">
      <alignment horizontal="center"/>
    </xf>
    <xf numFmtId="167" fontId="25" fillId="2" borderId="0" xfId="1" applyNumberFormat="1" applyFont="1" applyFill="1" applyBorder="1" applyAlignment="1">
      <alignment horizontal="center"/>
    </xf>
    <xf numFmtId="165" fontId="15" fillId="2" borderId="0" xfId="1" applyNumberFormat="1" applyFont="1" applyFill="1" applyBorder="1" applyAlignment="1">
      <alignment horizontal="right"/>
    </xf>
    <xf numFmtId="167" fontId="10" fillId="2" borderId="7" xfId="4" applyNumberFormat="1" applyFont="1" applyFill="1" applyBorder="1" applyAlignment="1">
      <alignment horizontal="right"/>
    </xf>
    <xf numFmtId="167" fontId="10" fillId="2" borderId="0" xfId="4" applyNumberFormat="1" applyFont="1" applyFill="1" applyBorder="1" applyAlignment="1">
      <alignment horizontal="right"/>
    </xf>
    <xf numFmtId="167" fontId="10" fillId="2" borderId="7" xfId="1" applyNumberFormat="1" applyFont="1" applyFill="1" applyBorder="1" applyAlignment="1">
      <alignment horizontal="right"/>
    </xf>
    <xf numFmtId="165" fontId="15" fillId="2" borderId="7" xfId="3" applyNumberFormat="1" applyFont="1" applyFill="1" applyBorder="1"/>
    <xf numFmtId="165" fontId="15" fillId="2" borderId="0" xfId="3" applyNumberFormat="1" applyFont="1" applyFill="1" applyBorder="1"/>
    <xf numFmtId="167" fontId="9" fillId="2" borderId="7" xfId="1" applyNumberFormat="1" applyFont="1" applyFill="1" applyBorder="1" applyAlignment="1">
      <alignment horizontal="center" vertical="top"/>
    </xf>
    <xf numFmtId="167" fontId="9" fillId="2" borderId="0" xfId="1" applyNumberFormat="1" applyFont="1" applyFill="1" applyAlignment="1">
      <alignment horizontal="center" vertical="top"/>
    </xf>
    <xf numFmtId="167" fontId="10" fillId="2" borderId="1" xfId="1" applyNumberFormat="1" applyFont="1" applyFill="1" applyBorder="1" applyAlignment="1">
      <alignment horizontal="center" vertical="top"/>
    </xf>
    <xf numFmtId="167" fontId="10" fillId="2" borderId="7" xfId="1" applyNumberFormat="1" applyFont="1" applyFill="1" applyBorder="1" applyAlignment="1">
      <alignment horizontal="center" vertical="top"/>
    </xf>
    <xf numFmtId="167" fontId="10" fillId="2" borderId="0" xfId="1" applyNumberFormat="1" applyFont="1" applyFill="1" applyBorder="1" applyAlignment="1">
      <alignment horizontal="center" vertical="top"/>
    </xf>
    <xf numFmtId="167" fontId="9" fillId="2" borderId="0" xfId="1" applyNumberFormat="1" applyFont="1" applyFill="1" applyBorder="1" applyAlignment="1">
      <alignment horizontal="center"/>
    </xf>
    <xf numFmtId="166" fontId="0" fillId="2" borderId="0" xfId="1" applyNumberFormat="1" applyFont="1" applyFill="1" applyBorder="1" applyAlignment="1">
      <alignment horizontal="center"/>
    </xf>
    <xf numFmtId="0" fontId="14" fillId="2" borderId="8" xfId="0" applyFont="1" applyFill="1" applyBorder="1"/>
    <xf numFmtId="0" fontId="14" fillId="2" borderId="2" xfId="0" applyFont="1" applyFill="1" applyBorder="1"/>
    <xf numFmtId="165" fontId="9" fillId="2" borderId="16" xfId="1" applyNumberFormat="1" applyFont="1" applyFill="1" applyBorder="1" applyAlignment="1">
      <alignment horizontal="right"/>
    </xf>
    <xf numFmtId="167" fontId="10" fillId="2" borderId="1" xfId="0" applyNumberFormat="1" applyFont="1" applyFill="1" applyBorder="1" applyAlignment="1">
      <alignment horizontal="center" vertical="top"/>
    </xf>
    <xf numFmtId="167" fontId="10" fillId="2" borderId="7" xfId="0" applyNumberFormat="1" applyFont="1" applyFill="1" applyBorder="1" applyAlignment="1">
      <alignment horizontal="center" vertical="top"/>
    </xf>
    <xf numFmtId="167" fontId="10" fillId="2" borderId="16" xfId="0" applyNumberFormat="1" applyFont="1" applyFill="1" applyBorder="1" applyAlignment="1">
      <alignment horizontal="center" vertical="top"/>
    </xf>
    <xf numFmtId="167" fontId="10" fillId="0" borderId="0" xfId="0" applyNumberFormat="1" applyFont="1" applyAlignment="1">
      <alignment horizontal="center" vertical="top"/>
    </xf>
    <xf numFmtId="167" fontId="10" fillId="0" borderId="1" xfId="0" applyNumberFormat="1" applyFont="1" applyBorder="1" applyAlignment="1">
      <alignment horizontal="center" vertical="top"/>
    </xf>
    <xf numFmtId="165" fontId="10" fillId="2" borderId="1" xfId="3" applyNumberFormat="1" applyFont="1" applyFill="1" applyBorder="1"/>
    <xf numFmtId="165" fontId="10" fillId="2" borderId="0" xfId="3" applyNumberFormat="1" applyFont="1" applyFill="1" applyAlignment="1">
      <alignment horizontal="right"/>
    </xf>
    <xf numFmtId="165" fontId="10" fillId="2" borderId="2" xfId="3" applyNumberFormat="1" applyFont="1" applyFill="1" applyBorder="1"/>
    <xf numFmtId="165" fontId="10" fillId="2" borderId="3" xfId="3" applyNumberFormat="1" applyFont="1" applyFill="1" applyBorder="1"/>
    <xf numFmtId="165" fontId="10" fillId="2" borderId="2" xfId="3" applyNumberFormat="1" applyFont="1" applyFill="1" applyBorder="1" applyAlignment="1">
      <alignment horizontal="right"/>
    </xf>
    <xf numFmtId="0" fontId="0" fillId="2" borderId="0" xfId="0" applyFill="1"/>
    <xf numFmtId="0" fontId="3" fillId="2" borderId="0" xfId="0" applyFont="1" applyFill="1" applyBorder="1" applyAlignment="1">
      <alignment horizontal="center"/>
    </xf>
    <xf numFmtId="166" fontId="3" fillId="2" borderId="0" xfId="1" applyNumberFormat="1" applyFont="1" applyFill="1" applyBorder="1" applyAlignment="1">
      <alignment horizontal="center"/>
    </xf>
    <xf numFmtId="0" fontId="3" fillId="2" borderId="0" xfId="0" applyFont="1" applyFill="1" applyBorder="1"/>
    <xf numFmtId="165" fontId="0" fillId="2" borderId="0" xfId="3" applyNumberFormat="1" applyFont="1" applyFill="1" applyBorder="1" applyAlignment="1">
      <alignment horizontal="center"/>
    </xf>
    <xf numFmtId="166" fontId="0" fillId="2" borderId="0" xfId="1" applyNumberFormat="1" applyFont="1" applyFill="1" applyBorder="1"/>
    <xf numFmtId="0" fontId="7" fillId="2" borderId="0" xfId="0" applyFont="1" applyFill="1" applyBorder="1"/>
    <xf numFmtId="0" fontId="2" fillId="2" borderId="0" xfId="0" applyFont="1" applyFill="1" applyBorder="1"/>
    <xf numFmtId="14" fontId="0" fillId="2" borderId="0" xfId="0" applyNumberFormat="1" applyFill="1" applyBorder="1"/>
    <xf numFmtId="166" fontId="3" fillId="2" borderId="0" xfId="1" applyNumberFormat="1" applyFont="1" applyFill="1" applyBorder="1"/>
    <xf numFmtId="165" fontId="3" fillId="2" borderId="0" xfId="3" applyNumberFormat="1" applyFont="1" applyFill="1" applyBorder="1" applyAlignment="1">
      <alignment horizontal="center"/>
    </xf>
    <xf numFmtId="0" fontId="0" fillId="2" borderId="0" xfId="0" applyFill="1" applyBorder="1" applyAlignment="1">
      <alignment horizontal="right"/>
    </xf>
    <xf numFmtId="0" fontId="0" fillId="2" borderId="0" xfId="0" applyFill="1"/>
    <xf numFmtId="0" fontId="16" fillId="2" borderId="0" xfId="0" quotePrefix="1" applyFont="1" applyFill="1" applyAlignment="1">
      <alignment horizontal="left"/>
    </xf>
    <xf numFmtId="0" fontId="0" fillId="2" borderId="0" xfId="0" applyFont="1" applyFill="1"/>
    <xf numFmtId="0" fontId="16" fillId="2" borderId="0" xfId="0" applyFont="1" applyFill="1" applyAlignment="1">
      <alignment horizontal="right"/>
    </xf>
    <xf numFmtId="0" fontId="2" fillId="2" borderId="0" xfId="0" applyFont="1" applyFill="1" applyBorder="1" applyAlignment="1">
      <alignment horizontal="right"/>
    </xf>
    <xf numFmtId="0" fontId="7" fillId="2" borderId="0" xfId="0" applyFont="1" applyFill="1" applyBorder="1" applyAlignment="1">
      <alignment horizontal="center"/>
    </xf>
    <xf numFmtId="0" fontId="0" fillId="2" borderId="0" xfId="0" applyFill="1"/>
    <xf numFmtId="0" fontId="8" fillId="2" borderId="0" xfId="0" applyFont="1" applyFill="1" applyAlignment="1">
      <alignment horizontal="center"/>
    </xf>
    <xf numFmtId="0" fontId="8" fillId="0" borderId="2" xfId="0" applyFont="1" applyBorder="1" applyAlignment="1">
      <alignment horizontal="center"/>
    </xf>
    <xf numFmtId="0" fontId="17" fillId="2" borderId="0" xfId="0" applyFont="1" applyFill="1" applyAlignment="1">
      <alignment wrapText="1"/>
    </xf>
    <xf numFmtId="0" fontId="32" fillId="2" borderId="0" xfId="0" applyFont="1" applyFill="1" applyAlignment="1">
      <alignment wrapText="1"/>
    </xf>
    <xf numFmtId="0" fontId="14" fillId="0" borderId="0" xfId="0" applyFont="1"/>
    <xf numFmtId="0" fontId="13" fillId="2" borderId="0" xfId="0" quotePrefix="1" applyFont="1" applyFill="1" applyAlignment="1">
      <alignment horizontal="left" wrapText="1"/>
    </xf>
    <xf numFmtId="0" fontId="0" fillId="0" borderId="0" xfId="0" applyAlignment="1">
      <alignment wrapText="1"/>
    </xf>
    <xf numFmtId="0" fontId="0" fillId="0" borderId="0" xfId="0" applyAlignment="1"/>
    <xf numFmtId="0" fontId="17" fillId="2" borderId="0" xfId="0" applyFont="1" applyFill="1" applyAlignment="1">
      <alignment horizontal="left" wrapText="1"/>
    </xf>
    <xf numFmtId="0" fontId="10" fillId="2" borderId="0" xfId="1" applyNumberFormat="1" applyFont="1" applyFill="1" applyAlignment="1">
      <alignment horizontal="left" vertical="top" wrapText="1"/>
    </xf>
    <xf numFmtId="0" fontId="0" fillId="2" borderId="0" xfId="0" applyFill="1"/>
    <xf numFmtId="0" fontId="23" fillId="2" borderId="0" xfId="0" applyFont="1" applyFill="1" applyAlignment="1">
      <alignment horizontal="left" wrapText="1"/>
    </xf>
    <xf numFmtId="0" fontId="10" fillId="2" borderId="0" xfId="0" applyFont="1" applyFill="1" applyAlignment="1">
      <alignment horizontal="left" wrapText="1"/>
    </xf>
    <xf numFmtId="0" fontId="23" fillId="2" borderId="0" xfId="0" applyFont="1" applyFill="1" applyAlignment="1">
      <alignment wrapText="1"/>
    </xf>
    <xf numFmtId="0" fontId="10" fillId="2" borderId="0" xfId="0" applyFont="1" applyFill="1" applyAlignment="1">
      <alignment wrapText="1"/>
    </xf>
    <xf numFmtId="0" fontId="22" fillId="2" borderId="0" xfId="0" applyFont="1" applyFill="1" applyAlignment="1">
      <alignment wrapText="1"/>
    </xf>
  </cellXfs>
  <cellStyles count="5">
    <cellStyle name="Comma" xfId="1" builtinId="3"/>
    <cellStyle name="Currency" xfId="4" builtinId="4"/>
    <cellStyle name="Normal" xfId="0" builtinId="0"/>
    <cellStyle name="Normal_PL_Analysis_template2007_Smart View" xfId="2" xr:uid="{00000000-0005-0000-0000-00000300000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6B7A-DF06-4B56-B546-92C77AFA6640}">
  <sheetPr>
    <pageSetUpPr fitToPage="1"/>
  </sheetPr>
  <dimension ref="A1:A8"/>
  <sheetViews>
    <sheetView tabSelected="1" zoomScaleNormal="100" zoomScaleSheetLayoutView="112" workbookViewId="0">
      <selection activeCell="A7" sqref="A7"/>
    </sheetView>
  </sheetViews>
  <sheetFormatPr defaultColWidth="9.140625" defaultRowHeight="15" x14ac:dyDescent="0.25"/>
  <cols>
    <col min="1" max="15" width="9.140625" style="3"/>
    <col min="16" max="16" width="15" style="3" customWidth="1"/>
    <col min="17" max="16384" width="9.140625" style="3"/>
  </cols>
  <sheetData>
    <row r="1" spans="1:1" x14ac:dyDescent="0.25">
      <c r="A1" s="8" t="s">
        <v>210</v>
      </c>
    </row>
    <row r="3" spans="1:1" x14ac:dyDescent="0.25">
      <c r="A3" s="3" t="s">
        <v>108</v>
      </c>
    </row>
    <row r="4" spans="1:1" x14ac:dyDescent="0.25">
      <c r="A4" s="3" t="s">
        <v>242</v>
      </c>
    </row>
    <row r="7" spans="1:1" x14ac:dyDescent="0.25">
      <c r="A7" s="3" t="s">
        <v>107</v>
      </c>
    </row>
    <row r="8" spans="1:1" x14ac:dyDescent="0.25">
      <c r="A8" s="3" t="s">
        <v>106</v>
      </c>
    </row>
  </sheetData>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87CC8-94CB-4352-9AF7-6E2C6D041720}">
  <sheetPr>
    <pageSetUpPr fitToPage="1"/>
  </sheetPr>
  <dimension ref="A1:N29"/>
  <sheetViews>
    <sheetView zoomScaleNormal="100" zoomScaleSheetLayoutView="100" workbookViewId="0">
      <pane xSplit="3" ySplit="2" topLeftCell="D3" activePane="bottomRight" state="frozen"/>
      <selection activeCell="J25" sqref="J25"/>
      <selection pane="topRight" activeCell="J25" sqref="J25"/>
      <selection pane="bottomLeft" activeCell="J25" sqref="J25"/>
      <selection pane="bottomRight"/>
    </sheetView>
  </sheetViews>
  <sheetFormatPr defaultColWidth="9.28515625" defaultRowHeight="15" x14ac:dyDescent="0.25"/>
  <cols>
    <col min="1" max="1" width="9.28515625" style="3"/>
    <col min="2" max="2" width="59" style="123" customWidth="1"/>
    <col min="3" max="3" width="4.28515625" style="3" customWidth="1"/>
    <col min="4" max="4" width="9.28515625" style="60"/>
    <col min="5" max="12" width="9.28515625" style="3"/>
    <col min="13" max="13" width="11.28515625" style="3" customWidth="1"/>
    <col min="14" max="16384" width="9.28515625" style="3"/>
  </cols>
  <sheetData>
    <row r="1" spans="1:14" x14ac:dyDescent="0.25">
      <c r="A1" s="41" t="s">
        <v>85</v>
      </c>
      <c r="B1" s="41"/>
      <c r="C1" s="43"/>
      <c r="D1" s="161" t="s">
        <v>54</v>
      </c>
      <c r="E1" s="161" t="s">
        <v>54</v>
      </c>
      <c r="F1" s="161" t="s">
        <v>169</v>
      </c>
      <c r="G1" s="161" t="s">
        <v>54</v>
      </c>
      <c r="H1" s="161" t="s">
        <v>54</v>
      </c>
    </row>
    <row r="2" spans="1:14" x14ac:dyDescent="0.25">
      <c r="A2" s="78" t="s">
        <v>61</v>
      </c>
      <c r="B2" s="41"/>
      <c r="C2" s="43"/>
      <c r="D2" s="80" t="s">
        <v>0</v>
      </c>
      <c r="E2" s="80" t="s">
        <v>1</v>
      </c>
      <c r="F2" s="80" t="s">
        <v>45</v>
      </c>
      <c r="G2" s="80" t="s">
        <v>46</v>
      </c>
      <c r="H2" s="80">
        <v>2017</v>
      </c>
      <c r="I2" s="80" t="s">
        <v>47</v>
      </c>
      <c r="J2" s="80" t="s">
        <v>44</v>
      </c>
      <c r="K2" s="80" t="s">
        <v>57</v>
      </c>
      <c r="L2" s="80" t="s">
        <v>58</v>
      </c>
      <c r="M2" s="80">
        <v>2018</v>
      </c>
      <c r="N2" s="80" t="s">
        <v>105</v>
      </c>
    </row>
    <row r="3" spans="1:14" x14ac:dyDescent="0.25">
      <c r="A3" s="111"/>
      <c r="B3" s="78"/>
      <c r="C3" s="43"/>
      <c r="D3" s="77"/>
      <c r="E3" s="43"/>
      <c r="F3" s="43"/>
      <c r="G3" s="43"/>
      <c r="H3" s="77"/>
      <c r="I3" s="77"/>
      <c r="J3" s="43"/>
      <c r="K3" s="43"/>
      <c r="L3" s="43"/>
      <c r="M3" s="159"/>
      <c r="N3" s="77"/>
    </row>
    <row r="4" spans="1:14" x14ac:dyDescent="0.25">
      <c r="A4" s="78" t="s">
        <v>86</v>
      </c>
      <c r="B4" s="78"/>
      <c r="C4" s="43"/>
      <c r="D4" s="112">
        <f>+'Income Statement History'!B30</f>
        <v>137.01000000000002</v>
      </c>
      <c r="E4" s="113">
        <f>+'Income Statement History'!C30</f>
        <v>201.77</v>
      </c>
      <c r="F4" s="113">
        <f>+'Income Statement History'!D30</f>
        <v>199.06000000000003</v>
      </c>
      <c r="G4" s="113">
        <f>+'Income Statement History'!E30</f>
        <v>159.22</v>
      </c>
      <c r="H4" s="112">
        <f>+'Income Statement History'!F30</f>
        <v>697.09999999999991</v>
      </c>
      <c r="I4" s="112">
        <f>+'Income Statement History'!G30</f>
        <v>150.29</v>
      </c>
      <c r="J4" s="113">
        <f>+'Income Statement History'!H30</f>
        <v>228.67</v>
      </c>
      <c r="K4" s="113">
        <f>+'Income Statement History'!I30</f>
        <v>290.40000000000003</v>
      </c>
      <c r="L4" s="113">
        <f>+'Income Statement History'!J30</f>
        <v>393.7999999999999</v>
      </c>
      <c r="M4" s="160">
        <f>+'Income Statement History'!K30</f>
        <v>1063.1699999999998</v>
      </c>
      <c r="N4" s="112">
        <v>164.4</v>
      </c>
    </row>
    <row r="5" spans="1:14" x14ac:dyDescent="0.25">
      <c r="A5" s="78"/>
      <c r="B5" s="78"/>
      <c r="C5" s="43"/>
      <c r="D5" s="77"/>
      <c r="E5" s="43"/>
      <c r="F5" s="114"/>
      <c r="G5" s="114"/>
      <c r="H5" s="77"/>
      <c r="I5" s="77"/>
      <c r="J5" s="43"/>
      <c r="K5" s="43"/>
      <c r="L5" s="43"/>
      <c r="M5" s="159"/>
      <c r="N5" s="77"/>
    </row>
    <row r="6" spans="1:14" x14ac:dyDescent="0.25">
      <c r="A6" s="78" t="s">
        <v>87</v>
      </c>
      <c r="B6" s="78"/>
      <c r="C6" s="43"/>
      <c r="D6" s="77"/>
      <c r="E6" s="43"/>
      <c r="F6" s="114"/>
      <c r="G6" s="114"/>
      <c r="H6" s="77"/>
      <c r="I6" s="77"/>
      <c r="J6" s="43"/>
      <c r="K6" s="43"/>
      <c r="L6" s="43"/>
      <c r="M6" s="159"/>
      <c r="N6" s="77"/>
    </row>
    <row r="7" spans="1:14" x14ac:dyDescent="0.25">
      <c r="A7" s="78" t="s">
        <v>88</v>
      </c>
      <c r="B7" s="78"/>
      <c r="C7" s="43"/>
      <c r="D7" s="58">
        <f>+'Income Statement History'!B12</f>
        <v>94.04</v>
      </c>
      <c r="E7" s="52">
        <f>+'Income Statement History'!C12</f>
        <v>100.39</v>
      </c>
      <c r="F7" s="52">
        <f>+'Income Statement History'!D12</f>
        <v>102.59</v>
      </c>
      <c r="G7" s="52">
        <f>+'Income Statement History'!E12</f>
        <v>109.1</v>
      </c>
      <c r="H7" s="58">
        <f>+'Income Statement History'!F12</f>
        <v>406.11</v>
      </c>
      <c r="I7" s="58">
        <f>+'Income Statement History'!G12</f>
        <v>108.16</v>
      </c>
      <c r="J7" s="52">
        <f>+'Income Statement History'!H12</f>
        <v>113.4</v>
      </c>
      <c r="K7" s="52">
        <f>+'Income Statement History'!I12</f>
        <v>113.5</v>
      </c>
      <c r="L7" s="52">
        <f>+'Income Statement History'!J12</f>
        <v>116.9</v>
      </c>
      <c r="M7" s="87">
        <f>+'Income Statement History'!K12</f>
        <v>451.96000000000004</v>
      </c>
      <c r="N7" s="58">
        <v>105.8</v>
      </c>
    </row>
    <row r="8" spans="1:14" s="413" customFormat="1" x14ac:dyDescent="0.25">
      <c r="A8" s="78" t="s">
        <v>217</v>
      </c>
      <c r="B8" s="78"/>
      <c r="C8" s="43"/>
      <c r="D8" s="58">
        <v>0</v>
      </c>
      <c r="E8" s="52">
        <v>0</v>
      </c>
      <c r="F8" s="52">
        <v>0</v>
      </c>
      <c r="G8" s="52">
        <v>0</v>
      </c>
      <c r="H8" s="58">
        <v>0</v>
      </c>
      <c r="I8" s="58">
        <v>0</v>
      </c>
      <c r="J8" s="52">
        <v>0</v>
      </c>
      <c r="K8" s="52">
        <v>0</v>
      </c>
      <c r="L8" s="52">
        <v>0</v>
      </c>
      <c r="M8" s="87">
        <v>0</v>
      </c>
      <c r="N8" s="58">
        <v>89</v>
      </c>
    </row>
    <row r="9" spans="1:14" x14ac:dyDescent="0.25">
      <c r="A9" s="78" t="s">
        <v>89</v>
      </c>
      <c r="B9" s="78"/>
      <c r="C9" s="43"/>
      <c r="D9" s="58">
        <f>+'Income Statement History'!B23</f>
        <v>34.01</v>
      </c>
      <c r="E9" s="52">
        <f>+'Income Statement History'!C23</f>
        <v>35.43</v>
      </c>
      <c r="F9" s="52">
        <f>+'Income Statement History'!D23</f>
        <v>34.479999999999997</v>
      </c>
      <c r="G9" s="52">
        <f>+'Income Statement History'!E23</f>
        <v>32.9</v>
      </c>
      <c r="H9" s="58">
        <f>+'Income Statement History'!F23</f>
        <v>136.80000000000001</v>
      </c>
      <c r="I9" s="58">
        <f>+'Income Statement History'!G23</f>
        <v>28.86</v>
      </c>
      <c r="J9" s="52">
        <f>+'Income Statement History'!H23</f>
        <v>26.88</v>
      </c>
      <c r="K9" s="52">
        <f>+'Income Statement History'!I23</f>
        <v>26.6</v>
      </c>
      <c r="L9" s="52">
        <f>+'Income Statement History'!J23</f>
        <v>24.9</v>
      </c>
      <c r="M9" s="87">
        <f>+'Income Statement History'!K23</f>
        <v>107.24000000000001</v>
      </c>
      <c r="N9" s="58">
        <v>22.7</v>
      </c>
    </row>
    <row r="10" spans="1:14" x14ac:dyDescent="0.25">
      <c r="A10" s="78" t="s">
        <v>90</v>
      </c>
      <c r="B10" s="78"/>
      <c r="C10" s="43"/>
      <c r="D10" s="58">
        <f>+'Income Statement History'!B26</f>
        <v>53.82</v>
      </c>
      <c r="E10" s="52">
        <f>+'Income Statement History'!C26</f>
        <v>69.89</v>
      </c>
      <c r="F10" s="52">
        <f>+'Income Statement History'!D26</f>
        <v>77</v>
      </c>
      <c r="G10" s="52">
        <f>+'Income Statement History'!E26</f>
        <v>266.98</v>
      </c>
      <c r="H10" s="58">
        <f>+'Income Statement History'!F26</f>
        <v>467.76</v>
      </c>
      <c r="I10" s="58">
        <f>+'Income Statement History'!G26</f>
        <v>46.1</v>
      </c>
      <c r="J10" s="52">
        <f>+'Income Statement History'!H26</f>
        <v>70.319999999999993</v>
      </c>
      <c r="K10" s="52">
        <f>+'Income Statement History'!I26</f>
        <v>94.9</v>
      </c>
      <c r="L10" s="52">
        <f>+'Income Statement History'!J26</f>
        <v>101.6</v>
      </c>
      <c r="M10" s="87">
        <f>+'Income Statement History'!K26</f>
        <v>312.91999999999996</v>
      </c>
      <c r="N10" s="58">
        <v>43.9</v>
      </c>
    </row>
    <row r="11" spans="1:14" x14ac:dyDescent="0.25">
      <c r="A11" s="78" t="s">
        <v>114</v>
      </c>
      <c r="B11" s="78"/>
      <c r="C11" s="43"/>
      <c r="D11" s="58">
        <f>+'Income Statement History'!B35</f>
        <v>0</v>
      </c>
      <c r="E11" s="52">
        <f>+'Income Statement History'!C35</f>
        <v>0</v>
      </c>
      <c r="F11" s="52">
        <f>+'Income Statement History'!D35</f>
        <v>0</v>
      </c>
      <c r="G11" s="52">
        <f>+'Income Statement History'!E35</f>
        <v>0</v>
      </c>
      <c r="H11" s="58">
        <f>+'Income Statement History'!F35</f>
        <v>0</v>
      </c>
      <c r="I11" s="58">
        <f>+'Income Statement History'!G35</f>
        <v>28</v>
      </c>
      <c r="J11" s="52">
        <f>+'Income Statement History'!H35</f>
        <v>0</v>
      </c>
      <c r="K11" s="52">
        <f>+'Income Statement History'!I35</f>
        <v>0</v>
      </c>
      <c r="L11" s="52">
        <f>+'Income Statement History'!J35</f>
        <v>0</v>
      </c>
      <c r="M11" s="87">
        <f>+'Income Statement History'!K35</f>
        <v>27.98</v>
      </c>
      <c r="N11" s="58">
        <v>2.6</v>
      </c>
    </row>
    <row r="12" spans="1:14" x14ac:dyDescent="0.25">
      <c r="A12" s="78" t="s">
        <v>91</v>
      </c>
      <c r="B12" s="78"/>
      <c r="C12" s="43"/>
      <c r="D12" s="58"/>
      <c r="E12" s="52"/>
      <c r="F12" s="115"/>
      <c r="G12" s="115"/>
      <c r="H12" s="58"/>
      <c r="I12" s="58"/>
      <c r="J12" s="52"/>
      <c r="K12" s="52"/>
      <c r="L12" s="52"/>
      <c r="M12" s="87"/>
      <c r="N12" s="58"/>
    </row>
    <row r="13" spans="1:14" x14ac:dyDescent="0.25">
      <c r="A13" s="116" t="s">
        <v>92</v>
      </c>
      <c r="B13" s="116"/>
      <c r="C13" s="117"/>
      <c r="D13" s="90">
        <f>+'Income Statement History'!B22</f>
        <v>2.2999999999999998</v>
      </c>
      <c r="E13" s="89">
        <f>+'Income Statement History'!C22</f>
        <v>1.43</v>
      </c>
      <c r="F13" s="89">
        <f>+'Income Statement History'!D22</f>
        <v>3.13</v>
      </c>
      <c r="G13" s="89">
        <f>+'Income Statement History'!E22</f>
        <v>2.89</v>
      </c>
      <c r="H13" s="90">
        <f>+'Income Statement History'!F22</f>
        <v>9.85</v>
      </c>
      <c r="I13" s="90">
        <f>+'Income Statement History'!G22</f>
        <v>3.7</v>
      </c>
      <c r="J13" s="89">
        <f>+'Income Statement History'!H22</f>
        <v>1.49</v>
      </c>
      <c r="K13" s="89">
        <f>+'Income Statement History'!I22</f>
        <v>1.1000000000000001</v>
      </c>
      <c r="L13" s="89">
        <f>+'Income Statement History'!J22</f>
        <v>2.2999999999999998</v>
      </c>
      <c r="M13" s="91">
        <f>+'Income Statement History'!K22</f>
        <v>8.59</v>
      </c>
      <c r="N13" s="90">
        <v>1.5</v>
      </c>
    </row>
    <row r="14" spans="1:14" ht="4.3499999999999996" customHeight="1" x14ac:dyDescent="0.25">
      <c r="A14" s="78" t="s">
        <v>54</v>
      </c>
      <c r="B14" s="78"/>
      <c r="C14" s="43"/>
      <c r="D14" s="58"/>
      <c r="E14" s="52"/>
      <c r="F14" s="115"/>
      <c r="G14" s="115"/>
      <c r="H14" s="58"/>
      <c r="I14" s="58"/>
      <c r="J14" s="52"/>
      <c r="K14" s="52"/>
      <c r="L14" s="52"/>
      <c r="M14" s="87"/>
      <c r="N14" s="58"/>
    </row>
    <row r="15" spans="1:14" x14ac:dyDescent="0.25">
      <c r="A15" s="78" t="s">
        <v>7</v>
      </c>
      <c r="B15" s="78"/>
      <c r="C15" s="43"/>
      <c r="D15" s="58">
        <f>+'Income Statement History'!B39</f>
        <v>316.5</v>
      </c>
      <c r="E15" s="52">
        <f>+'Income Statement History'!C39</f>
        <v>406.05</v>
      </c>
      <c r="F15" s="52">
        <f>+'Income Statement History'!D39</f>
        <v>410</v>
      </c>
      <c r="G15" s="52">
        <f>+'Income Statement History'!E39</f>
        <v>565.31000000000006</v>
      </c>
      <c r="H15" s="58">
        <f>+'Income Statement History'!F39</f>
        <v>1697.92</v>
      </c>
      <c r="I15" s="58">
        <f>+'Income Statement History'!G39</f>
        <v>357.79</v>
      </c>
      <c r="J15" s="52">
        <f>+'Income Statement History'!H39</f>
        <v>437.78</v>
      </c>
      <c r="K15" s="52">
        <f>+'Income Statement History'!I39</f>
        <v>524.30000000000007</v>
      </c>
      <c r="L15" s="52">
        <f>+'Income Statement History'!J39</f>
        <v>634.89999999999986</v>
      </c>
      <c r="M15" s="87">
        <f>+'Income Statement History'!K39</f>
        <v>1954.6799999999998</v>
      </c>
      <c r="N15" s="427">
        <f>+N4+N7+N8+N9+N10+N11-N13</f>
        <v>426.9</v>
      </c>
    </row>
    <row r="16" spans="1:14" ht="3.4" customHeight="1" x14ac:dyDescent="0.25">
      <c r="A16" s="78" t="s">
        <v>54</v>
      </c>
      <c r="B16" s="78"/>
      <c r="C16" s="43"/>
      <c r="D16" s="58"/>
      <c r="E16" s="52"/>
      <c r="F16" s="115"/>
      <c r="G16" s="115"/>
      <c r="H16" s="58"/>
      <c r="I16" s="58"/>
      <c r="J16" s="52"/>
      <c r="K16" s="52"/>
      <c r="L16" s="52"/>
      <c r="M16" s="87"/>
      <c r="N16" s="58"/>
    </row>
    <row r="17" spans="1:14" x14ac:dyDescent="0.25">
      <c r="A17" s="78" t="s">
        <v>93</v>
      </c>
      <c r="B17" s="78"/>
      <c r="C17" s="43"/>
      <c r="D17" s="58"/>
      <c r="E17" s="52"/>
      <c r="F17" s="115"/>
      <c r="G17" s="115"/>
      <c r="H17" s="58"/>
      <c r="I17" s="58"/>
      <c r="J17" s="52"/>
      <c r="K17" s="52"/>
      <c r="L17" s="52"/>
      <c r="M17" s="87"/>
      <c r="N17" s="58"/>
    </row>
    <row r="18" spans="1:14" ht="13.9" customHeight="1" x14ac:dyDescent="0.25">
      <c r="A18" s="496" t="s">
        <v>113</v>
      </c>
      <c r="B18" s="497"/>
      <c r="C18" s="497"/>
      <c r="H18" s="4"/>
      <c r="M18" s="4"/>
      <c r="N18" s="413"/>
    </row>
    <row r="19" spans="1:14" ht="13.9" customHeight="1" x14ac:dyDescent="0.25">
      <c r="A19" s="496" t="s">
        <v>112</v>
      </c>
      <c r="B19" s="497"/>
      <c r="C19" s="497"/>
      <c r="D19" s="58"/>
      <c r="E19" s="52"/>
      <c r="F19" s="115"/>
      <c r="G19" s="115"/>
      <c r="H19" s="58"/>
      <c r="I19" s="58"/>
      <c r="J19" s="52"/>
      <c r="K19" s="52"/>
      <c r="L19" s="52"/>
      <c r="M19" s="87"/>
      <c r="N19" s="58"/>
    </row>
    <row r="20" spans="1:14" ht="13.9" customHeight="1" x14ac:dyDescent="0.25">
      <c r="A20" s="496" t="s">
        <v>111</v>
      </c>
      <c r="B20" s="497"/>
      <c r="C20" s="497"/>
      <c r="D20" s="58">
        <v>0</v>
      </c>
      <c r="E20" s="52">
        <v>0</v>
      </c>
      <c r="F20" s="115">
        <v>0</v>
      </c>
      <c r="G20" s="115">
        <v>0</v>
      </c>
      <c r="H20" s="58">
        <v>0</v>
      </c>
      <c r="I20" s="58">
        <v>0</v>
      </c>
      <c r="J20" s="52">
        <v>0</v>
      </c>
      <c r="K20" s="52">
        <v>-92.6</v>
      </c>
      <c r="L20" s="52">
        <v>-7.8</v>
      </c>
      <c r="M20" s="87">
        <f>+I20+J20+K20+L20</f>
        <v>-100.39999999999999</v>
      </c>
      <c r="N20" s="58">
        <v>0</v>
      </c>
    </row>
    <row r="21" spans="1:14" ht="14.25" customHeight="1" x14ac:dyDescent="0.25">
      <c r="A21" s="78" t="s">
        <v>110</v>
      </c>
      <c r="B21" s="78"/>
      <c r="C21" s="43"/>
      <c r="D21" s="58">
        <v>0</v>
      </c>
      <c r="E21" s="52">
        <v>0</v>
      </c>
      <c r="F21" s="115">
        <v>0</v>
      </c>
      <c r="G21" s="115">
        <v>0</v>
      </c>
      <c r="H21" s="58">
        <v>0</v>
      </c>
      <c r="I21" s="58">
        <v>0</v>
      </c>
      <c r="J21" s="52">
        <v>0</v>
      </c>
      <c r="K21" s="52">
        <v>12.7</v>
      </c>
      <c r="L21" s="52">
        <v>25.3</v>
      </c>
      <c r="M21" s="87">
        <f>+I21+J21+K21+L21</f>
        <v>38</v>
      </c>
      <c r="N21" s="58">
        <v>15.8</v>
      </c>
    </row>
    <row r="22" spans="1:14" ht="14.25" customHeight="1" x14ac:dyDescent="0.25">
      <c r="A22" s="78" t="s">
        <v>96</v>
      </c>
      <c r="B22" s="78"/>
      <c r="C22"/>
      <c r="D22" s="58">
        <v>0</v>
      </c>
      <c r="E22" s="52">
        <v>0</v>
      </c>
      <c r="F22" s="115">
        <v>0</v>
      </c>
      <c r="G22" s="115">
        <v>0</v>
      </c>
      <c r="H22" s="58">
        <v>0</v>
      </c>
      <c r="I22" s="58">
        <v>0</v>
      </c>
      <c r="J22" s="52">
        <v>0</v>
      </c>
      <c r="K22" s="52">
        <v>8.8000000000000007</v>
      </c>
      <c r="L22" s="52">
        <v>0</v>
      </c>
      <c r="M22" s="87">
        <f>+I22+J22+K22+L22</f>
        <v>8.8000000000000007</v>
      </c>
      <c r="N22" s="58">
        <v>0</v>
      </c>
    </row>
    <row r="23" spans="1:14" x14ac:dyDescent="0.25">
      <c r="A23" s="78" t="s">
        <v>94</v>
      </c>
      <c r="B23" s="78"/>
      <c r="C23" s="43"/>
      <c r="D23" s="58">
        <v>11.9</v>
      </c>
      <c r="E23" s="52">
        <v>15.4</v>
      </c>
      <c r="F23" s="115">
        <v>0</v>
      </c>
      <c r="G23" s="115">
        <v>0</v>
      </c>
      <c r="H23" s="58">
        <f>SUM(D23:G23)</f>
        <v>27.3</v>
      </c>
      <c r="I23" s="58">
        <v>0</v>
      </c>
      <c r="J23" s="52">
        <v>0</v>
      </c>
      <c r="K23" s="52">
        <v>6.1</v>
      </c>
      <c r="L23" s="52">
        <v>3</v>
      </c>
      <c r="M23" s="87">
        <f>+I23+J23+K23+L23</f>
        <v>9.1</v>
      </c>
      <c r="N23" s="58">
        <v>0</v>
      </c>
    </row>
    <row r="24" spans="1:14" x14ac:dyDescent="0.25">
      <c r="A24" s="78" t="s">
        <v>109</v>
      </c>
      <c r="B24" s="78"/>
      <c r="C24" s="43"/>
      <c r="D24" s="58"/>
      <c r="E24" s="52"/>
      <c r="F24" s="52"/>
      <c r="G24" s="52"/>
      <c r="H24" s="58"/>
      <c r="I24" s="58"/>
      <c r="J24" s="52"/>
      <c r="K24" s="52"/>
      <c r="L24" s="52"/>
      <c r="M24" s="87"/>
      <c r="N24" s="58"/>
    </row>
    <row r="25" spans="1:14" x14ac:dyDescent="0.25">
      <c r="A25" s="116" t="s">
        <v>95</v>
      </c>
      <c r="B25" s="116"/>
      <c r="C25" s="117"/>
      <c r="D25" s="90">
        <v>-15.2</v>
      </c>
      <c r="E25" s="89">
        <v>-2.8</v>
      </c>
      <c r="F25" s="118">
        <v>5.2</v>
      </c>
      <c r="G25" s="118">
        <v>4.4000000000000004</v>
      </c>
      <c r="H25" s="90">
        <f>SUM(D25:G25)</f>
        <v>-8.4</v>
      </c>
      <c r="I25" s="90">
        <v>-10</v>
      </c>
      <c r="J25" s="89">
        <v>1.5</v>
      </c>
      <c r="K25" s="89">
        <v>4</v>
      </c>
      <c r="L25" s="89">
        <v>-0.7</v>
      </c>
      <c r="M25" s="91">
        <f>+I25+J25+K25+L25</f>
        <v>-5.2</v>
      </c>
      <c r="N25" s="90">
        <v>7.3</v>
      </c>
    </row>
    <row r="26" spans="1:14" ht="6.4" customHeight="1" x14ac:dyDescent="0.25">
      <c r="A26" s="78"/>
      <c r="B26" s="78"/>
      <c r="C26" s="43"/>
      <c r="D26" s="58"/>
      <c r="E26" s="52"/>
      <c r="F26" s="52"/>
      <c r="G26" s="52"/>
      <c r="H26" s="58"/>
      <c r="I26" s="58"/>
      <c r="J26" s="52"/>
      <c r="K26" s="52"/>
      <c r="L26" s="52"/>
      <c r="M26" s="87"/>
      <c r="N26" s="58"/>
    </row>
    <row r="27" spans="1:14" ht="15.75" thickBot="1" x14ac:dyDescent="0.3">
      <c r="A27" s="119" t="s">
        <v>8</v>
      </c>
      <c r="B27" s="119"/>
      <c r="C27" s="120"/>
      <c r="D27" s="122">
        <f>+'Income Statement History'!B115</f>
        <v>313.24</v>
      </c>
      <c r="E27" s="121">
        <f>+'Income Statement History'!C115</f>
        <v>418.68</v>
      </c>
      <c r="F27" s="121">
        <f>+'Income Statement History'!D115</f>
        <v>415.24</v>
      </c>
      <c r="G27" s="121">
        <f>+'Income Statement History'!E115</f>
        <v>569.70000000000005</v>
      </c>
      <c r="H27" s="122">
        <f>+'Income Statement History'!F115</f>
        <v>1716.65</v>
      </c>
      <c r="I27" s="122">
        <f>+'Income Statement History'!G115</f>
        <v>347.8</v>
      </c>
      <c r="J27" s="121">
        <f>+'Income Statement History'!H115</f>
        <v>439.28</v>
      </c>
      <c r="K27" s="121">
        <f>+'Income Statement History'!I115</f>
        <v>463.30000000000018</v>
      </c>
      <c r="L27" s="121">
        <f>+'Income Statement History'!J115</f>
        <v>654.69999999999936</v>
      </c>
      <c r="M27" s="158">
        <f>+'Income Statement History'!K115</f>
        <v>1905.12</v>
      </c>
      <c r="N27" s="122">
        <f>+N15+N20+N21+N22+N23+N25</f>
        <v>450</v>
      </c>
    </row>
    <row r="28" spans="1:14" ht="15.75" thickTop="1" x14ac:dyDescent="0.25">
      <c r="A28" s="43"/>
      <c r="B28" s="78"/>
      <c r="C28" s="43"/>
      <c r="D28" s="43"/>
      <c r="E28" s="43"/>
      <c r="F28" s="43"/>
    </row>
    <row r="29" spans="1:14" x14ac:dyDescent="0.25">
      <c r="A29" s="104" t="s">
        <v>54</v>
      </c>
      <c r="B29" s="78"/>
      <c r="C29" s="43"/>
      <c r="D29" s="43"/>
      <c r="E29" s="43"/>
      <c r="F29" s="43"/>
    </row>
  </sheetData>
  <mergeCells count="3">
    <mergeCell ref="A18:C18"/>
    <mergeCell ref="A20:C20"/>
    <mergeCell ref="A19:C19"/>
  </mergeCells>
  <pageMargins left="0.45" right="0.45" top="0.75" bottom="0.75" header="0.3" footer="0.3"/>
  <pageSetup scale="72" orientation="landscape"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0508A-D50F-4BD9-93FC-8DC7697610F5}">
  <sheetPr>
    <pageSetUpPr fitToPage="1"/>
  </sheetPr>
  <dimension ref="A1:N21"/>
  <sheetViews>
    <sheetView zoomScaleNormal="100" zoomScaleSheetLayoutView="100" workbookViewId="0">
      <selection activeCell="B1" sqref="B1"/>
    </sheetView>
  </sheetViews>
  <sheetFormatPr defaultColWidth="9.28515625" defaultRowHeight="15" x14ac:dyDescent="0.25"/>
  <cols>
    <col min="1" max="1" width="6.28515625" style="3" customWidth="1"/>
    <col min="2" max="2" width="138.7109375" style="3" customWidth="1"/>
    <col min="3" max="3" width="35.5703125" style="3" bestFit="1" customWidth="1"/>
    <col min="4" max="16384" width="9.28515625" style="3"/>
  </cols>
  <sheetData>
    <row r="1" spans="1:14" x14ac:dyDescent="0.25">
      <c r="A1" s="173" t="s">
        <v>130</v>
      </c>
      <c r="B1" s="170"/>
      <c r="C1" s="169"/>
    </row>
    <row r="2" spans="1:14" x14ac:dyDescent="0.25">
      <c r="A2" s="172" t="s">
        <v>129</v>
      </c>
      <c r="B2" s="170"/>
      <c r="C2" s="169"/>
    </row>
    <row r="3" spans="1:14" x14ac:dyDescent="0.25">
      <c r="A3" s="171" t="s">
        <v>117</v>
      </c>
      <c r="B3" s="170"/>
      <c r="C3" s="169"/>
    </row>
    <row r="4" spans="1:14" x14ac:dyDescent="0.25">
      <c r="A4" s="168" t="s">
        <v>128</v>
      </c>
      <c r="B4" s="166" t="s">
        <v>127</v>
      </c>
    </row>
    <row r="5" spans="1:14" s="413" customFormat="1" x14ac:dyDescent="0.25">
      <c r="A5" s="168" t="s">
        <v>126</v>
      </c>
      <c r="B5" s="166" t="s">
        <v>218</v>
      </c>
    </row>
    <row r="6" spans="1:14" x14ac:dyDescent="0.25">
      <c r="A6" s="168" t="s">
        <v>124</v>
      </c>
      <c r="B6" s="166" t="s">
        <v>125</v>
      </c>
    </row>
    <row r="7" spans="1:14" x14ac:dyDescent="0.25">
      <c r="A7" s="168" t="s">
        <v>122</v>
      </c>
      <c r="B7" s="166" t="s">
        <v>123</v>
      </c>
    </row>
    <row r="8" spans="1:14" x14ac:dyDescent="0.25">
      <c r="A8" s="168" t="s">
        <v>219</v>
      </c>
      <c r="B8" s="166" t="s">
        <v>121</v>
      </c>
    </row>
    <row r="9" spans="1:14" x14ac:dyDescent="0.25">
      <c r="A9" s="166" t="s">
        <v>117</v>
      </c>
      <c r="B9" s="43"/>
    </row>
    <row r="10" spans="1:14" ht="42" customHeight="1" x14ac:dyDescent="0.25">
      <c r="A10" s="498" t="s">
        <v>120</v>
      </c>
      <c r="B10" s="499"/>
      <c r="C10" s="167"/>
      <c r="D10" s="167"/>
      <c r="E10" s="167"/>
      <c r="F10" s="167"/>
      <c r="G10" s="167"/>
      <c r="H10" s="167"/>
      <c r="I10" s="167"/>
      <c r="J10" s="167"/>
      <c r="K10" s="167"/>
      <c r="L10" s="167"/>
      <c r="M10" s="167"/>
      <c r="N10" s="167"/>
    </row>
    <row r="11" spans="1:14" x14ac:dyDescent="0.25">
      <c r="A11" s="166"/>
      <c r="B11" s="43"/>
    </row>
    <row r="12" spans="1:14" ht="55.9" customHeight="1" x14ac:dyDescent="0.25">
      <c r="A12" s="500" t="s">
        <v>119</v>
      </c>
      <c r="B12" s="501"/>
    </row>
    <row r="13" spans="1:14" x14ac:dyDescent="0.25">
      <c r="A13" s="166" t="s">
        <v>117</v>
      </c>
      <c r="B13" s="43"/>
    </row>
    <row r="14" spans="1:14" ht="45.4" customHeight="1" x14ac:dyDescent="0.25">
      <c r="A14" s="502" t="s">
        <v>118</v>
      </c>
      <c r="B14" s="501"/>
    </row>
    <row r="15" spans="1:14" s="413" customFormat="1" ht="14.25" customHeight="1" x14ac:dyDescent="0.25">
      <c r="A15" s="415"/>
      <c r="B15" s="414"/>
    </row>
    <row r="16" spans="1:14" s="413" customFormat="1" ht="28.5" customHeight="1" x14ac:dyDescent="0.25">
      <c r="A16" s="502" t="s">
        <v>220</v>
      </c>
      <c r="B16" s="493"/>
    </row>
    <row r="17" spans="1:2" x14ac:dyDescent="0.25">
      <c r="A17" s="166" t="s">
        <v>117</v>
      </c>
      <c r="B17" s="43"/>
    </row>
    <row r="18" spans="1:2" ht="131.44999999999999" customHeight="1" x14ac:dyDescent="0.25">
      <c r="A18" s="502" t="s">
        <v>116</v>
      </c>
      <c r="B18" s="501"/>
    </row>
    <row r="19" spans="1:2" x14ac:dyDescent="0.25">
      <c r="A19" s="43"/>
      <c r="B19" s="43"/>
    </row>
    <row r="20" spans="1:2" x14ac:dyDescent="0.25">
      <c r="A20" s="43"/>
      <c r="B20" s="43"/>
    </row>
    <row r="21" spans="1:2" x14ac:dyDescent="0.25">
      <c r="A21" s="43"/>
      <c r="B21" s="43"/>
    </row>
  </sheetData>
  <mergeCells count="5">
    <mergeCell ref="A10:B10"/>
    <mergeCell ref="A12:B12"/>
    <mergeCell ref="A14:B14"/>
    <mergeCell ref="A18:B18"/>
    <mergeCell ref="A16:B16"/>
  </mergeCells>
  <printOptions horizontalCentered="1"/>
  <pageMargins left="0.45" right="0.45" top="0.75" bottom="0.5" header="0.3" footer="0.3"/>
  <pageSetup paperSize="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B1:S16"/>
  <sheetViews>
    <sheetView workbookViewId="0">
      <selection activeCell="E14" sqref="E14"/>
    </sheetView>
  </sheetViews>
  <sheetFormatPr defaultRowHeight="15" x14ac:dyDescent="0.25"/>
  <cols>
    <col min="5" max="5" width="16.42578125" bestFit="1" customWidth="1"/>
    <col min="7" max="7" width="50.28515625" customWidth="1"/>
    <col min="8" max="10" width="15.28515625" customWidth="1"/>
  </cols>
  <sheetData>
    <row r="1" spans="2:19" ht="15.75" thickBot="1" x14ac:dyDescent="0.3"/>
    <row r="2" spans="2:19" ht="16.5" thickTop="1" thickBot="1" x14ac:dyDescent="0.3">
      <c r="B2" s="13" t="s">
        <v>19</v>
      </c>
      <c r="C2" s="14"/>
      <c r="D2" s="15"/>
      <c r="E2" s="16"/>
    </row>
    <row r="3" spans="2:19" ht="53.25" thickTop="1" thickBot="1" x14ac:dyDescent="0.3">
      <c r="B3" s="13" t="s">
        <v>20</v>
      </c>
      <c r="C3" s="14"/>
      <c r="D3" s="15"/>
      <c r="E3" s="17" t="s">
        <v>21</v>
      </c>
      <c r="G3" s="26" t="s">
        <v>40</v>
      </c>
    </row>
    <row r="4" spans="2:19" ht="16.5" thickTop="1" thickBot="1" x14ac:dyDescent="0.3">
      <c r="B4" s="13" t="s">
        <v>22</v>
      </c>
      <c r="C4" s="14"/>
      <c r="D4" s="15"/>
      <c r="E4" s="18" t="s">
        <v>23</v>
      </c>
      <c r="G4" s="15"/>
    </row>
    <row r="5" spans="2:19" ht="16.5" thickTop="1" thickBot="1" x14ac:dyDescent="0.3">
      <c r="B5" s="19" t="s">
        <v>24</v>
      </c>
      <c r="C5" s="14"/>
      <c r="D5" s="15"/>
      <c r="E5" s="20" t="s">
        <v>25</v>
      </c>
      <c r="G5" s="15"/>
    </row>
    <row r="6" spans="2:19" ht="16.5" thickTop="1" thickBot="1" x14ac:dyDescent="0.3">
      <c r="B6" s="13" t="s">
        <v>26</v>
      </c>
      <c r="C6" s="14"/>
      <c r="D6" s="15"/>
      <c r="E6" s="21"/>
      <c r="G6" s="15"/>
    </row>
    <row r="7" spans="2:19" ht="16.5" thickTop="1" thickBot="1" x14ac:dyDescent="0.3">
      <c r="B7" s="13" t="s">
        <v>27</v>
      </c>
      <c r="C7" s="14"/>
      <c r="D7" s="15"/>
      <c r="E7" s="18"/>
      <c r="G7" s="15"/>
    </row>
    <row r="8" spans="2:19" ht="16.5" thickTop="1" thickBot="1" x14ac:dyDescent="0.3">
      <c r="B8" s="19" t="s">
        <v>28</v>
      </c>
      <c r="C8" s="14"/>
      <c r="D8" s="15"/>
      <c r="E8" s="22"/>
      <c r="G8" s="15"/>
    </row>
    <row r="9" spans="2:19" ht="16.5" thickTop="1" thickBot="1" x14ac:dyDescent="0.3">
      <c r="B9" s="13" t="s">
        <v>29</v>
      </c>
      <c r="C9" s="14"/>
      <c r="D9" s="15"/>
      <c r="E9" s="18"/>
      <c r="S9" s="14" t="s">
        <v>41</v>
      </c>
    </row>
    <row r="10" spans="2:19" ht="16.5" thickTop="1" thickBot="1" x14ac:dyDescent="0.3">
      <c r="B10" s="13" t="s">
        <v>30</v>
      </c>
      <c r="C10" s="14"/>
      <c r="D10" s="15"/>
      <c r="E10" s="18" t="s">
        <v>31</v>
      </c>
      <c r="H10" s="18" t="s">
        <v>97</v>
      </c>
      <c r="I10" s="18" t="s">
        <v>98</v>
      </c>
      <c r="J10" s="18" t="s">
        <v>104</v>
      </c>
      <c r="S10" s="15" t="s">
        <v>42</v>
      </c>
    </row>
    <row r="11" spans="2:19" ht="16.5" thickTop="1" thickBot="1" x14ac:dyDescent="0.3">
      <c r="B11" s="13" t="s">
        <v>32</v>
      </c>
      <c r="C11" s="14"/>
      <c r="D11" s="15"/>
      <c r="E11" s="18" t="s">
        <v>33</v>
      </c>
      <c r="G11" s="15"/>
    </row>
    <row r="12" spans="2:19" ht="16.5" thickTop="1" thickBot="1" x14ac:dyDescent="0.3">
      <c r="B12" s="13" t="s">
        <v>34</v>
      </c>
      <c r="C12" s="14"/>
      <c r="D12" s="15"/>
      <c r="E12" s="18" t="s">
        <v>33</v>
      </c>
      <c r="F12" s="27" t="s">
        <v>43</v>
      </c>
    </row>
    <row r="13" spans="2:19" ht="16.5" thickTop="1" thickBot="1" x14ac:dyDescent="0.3">
      <c r="B13" s="23" t="s">
        <v>35</v>
      </c>
      <c r="C13" s="14"/>
      <c r="D13" s="15"/>
      <c r="E13" s="18" t="s">
        <v>36</v>
      </c>
      <c r="F13" s="18" t="s">
        <v>39</v>
      </c>
      <c r="G13" s="15"/>
    </row>
    <row r="14" spans="2:19" ht="16.5" thickTop="1" thickBot="1" x14ac:dyDescent="0.3">
      <c r="B14" s="24" t="s">
        <v>37</v>
      </c>
      <c r="C14" s="14"/>
      <c r="D14" s="15"/>
      <c r="E14" s="25" t="s">
        <v>38</v>
      </c>
    </row>
    <row r="15" spans="2:19" ht="15.75" thickTop="1" x14ac:dyDescent="0.25">
      <c r="G15" s="15"/>
    </row>
    <row r="16" spans="2:19" x14ac:dyDescent="0.25">
      <c r="G16" s="1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B1:G16"/>
  <sheetViews>
    <sheetView workbookViewId="0">
      <selection activeCell="E5" sqref="E5"/>
    </sheetView>
  </sheetViews>
  <sheetFormatPr defaultRowHeight="15" x14ac:dyDescent="0.25"/>
  <cols>
    <col min="5" max="5" width="16.42578125" customWidth="1"/>
    <col min="7" max="7" width="50.28515625" customWidth="1"/>
  </cols>
  <sheetData>
    <row r="1" spans="2:7" ht="15.75" thickBot="1" x14ac:dyDescent="0.3"/>
    <row r="2" spans="2:7" ht="16.5" thickTop="1" thickBot="1" x14ac:dyDescent="0.3">
      <c r="B2" s="13" t="s">
        <v>19</v>
      </c>
      <c r="C2" s="14"/>
      <c r="D2" s="15"/>
      <c r="E2" s="16"/>
    </row>
    <row r="3" spans="2:7" ht="53.25" thickTop="1" thickBot="1" x14ac:dyDescent="0.3">
      <c r="B3" s="13" t="s">
        <v>20</v>
      </c>
      <c r="C3" s="14"/>
      <c r="D3" s="15"/>
      <c r="E3" s="17" t="s">
        <v>21</v>
      </c>
      <c r="G3" s="26" t="s">
        <v>40</v>
      </c>
    </row>
    <row r="4" spans="2:7" ht="16.5" thickTop="1" thickBot="1" x14ac:dyDescent="0.3">
      <c r="B4" s="13" t="s">
        <v>22</v>
      </c>
      <c r="C4" s="14"/>
      <c r="D4" s="15"/>
      <c r="E4" s="18" t="s">
        <v>23</v>
      </c>
      <c r="G4" s="15"/>
    </row>
    <row r="5" spans="2:7" ht="16.5" thickTop="1" thickBot="1" x14ac:dyDescent="0.3">
      <c r="B5" s="19" t="s">
        <v>24</v>
      </c>
      <c r="C5" s="14"/>
      <c r="D5" s="15"/>
      <c r="E5" s="20" t="s">
        <v>59</v>
      </c>
      <c r="G5" s="15"/>
    </row>
    <row r="6" spans="2:7" ht="16.5" thickTop="1" thickBot="1" x14ac:dyDescent="0.3">
      <c r="B6" s="13" t="s">
        <v>26</v>
      </c>
      <c r="C6" s="14"/>
      <c r="D6" s="15"/>
      <c r="E6" s="21"/>
      <c r="G6" s="15"/>
    </row>
    <row r="7" spans="2:7" ht="16.5" thickTop="1" thickBot="1" x14ac:dyDescent="0.3">
      <c r="B7" s="13" t="s">
        <v>27</v>
      </c>
      <c r="C7" s="14"/>
      <c r="D7" s="15"/>
      <c r="E7" s="18"/>
      <c r="G7" s="15"/>
    </row>
    <row r="8" spans="2:7" ht="16.5" thickTop="1" thickBot="1" x14ac:dyDescent="0.3">
      <c r="B8" s="19" t="s">
        <v>28</v>
      </c>
      <c r="C8" s="14"/>
      <c r="D8" s="15"/>
      <c r="E8" s="22"/>
      <c r="G8" s="15"/>
    </row>
    <row r="9" spans="2:7" ht="16.5" thickTop="1" thickBot="1" x14ac:dyDescent="0.3">
      <c r="B9" s="13" t="s">
        <v>29</v>
      </c>
      <c r="C9" s="14"/>
      <c r="D9" s="15"/>
      <c r="E9" s="18"/>
      <c r="G9" s="14" t="s">
        <v>41</v>
      </c>
    </row>
    <row r="10" spans="2:7" ht="16.5" thickTop="1" thickBot="1" x14ac:dyDescent="0.3">
      <c r="B10" s="13" t="s">
        <v>30</v>
      </c>
      <c r="C10" s="14"/>
      <c r="D10" s="15"/>
      <c r="E10" s="18" t="s">
        <v>31</v>
      </c>
      <c r="G10" s="15" t="s">
        <v>42</v>
      </c>
    </row>
    <row r="11" spans="2:7" ht="16.5" thickTop="1" thickBot="1" x14ac:dyDescent="0.3">
      <c r="B11" s="13" t="s">
        <v>32</v>
      </c>
      <c r="C11" s="14"/>
      <c r="D11" s="15"/>
      <c r="E11" s="18" t="s">
        <v>33</v>
      </c>
      <c r="G11" s="15"/>
    </row>
    <row r="12" spans="2:7" ht="16.5" thickTop="1" thickBot="1" x14ac:dyDescent="0.3">
      <c r="B12" s="13" t="s">
        <v>34</v>
      </c>
      <c r="C12" s="14"/>
      <c r="D12" s="15"/>
      <c r="E12" s="18" t="s">
        <v>33</v>
      </c>
      <c r="F12" s="27" t="s">
        <v>43</v>
      </c>
    </row>
    <row r="13" spans="2:7" ht="16.5" thickTop="1" thickBot="1" x14ac:dyDescent="0.3">
      <c r="B13" s="23" t="s">
        <v>35</v>
      </c>
      <c r="C13" s="14"/>
      <c r="D13" s="15"/>
      <c r="E13" s="18" t="s">
        <v>36</v>
      </c>
      <c r="F13" s="18" t="s">
        <v>39</v>
      </c>
      <c r="G13" s="15"/>
    </row>
    <row r="14" spans="2:7" ht="16.5" thickTop="1" thickBot="1" x14ac:dyDescent="0.3">
      <c r="B14" s="24" t="s">
        <v>37</v>
      </c>
      <c r="C14" s="14"/>
      <c r="D14" s="15"/>
      <c r="E14" s="25" t="s">
        <v>38</v>
      </c>
    </row>
    <row r="15" spans="2:7" ht="15.75" thickTop="1" x14ac:dyDescent="0.25">
      <c r="G15" s="15"/>
    </row>
    <row r="16" spans="2:7" x14ac:dyDescent="0.25">
      <c r="G16" s="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9A68-218A-4016-8778-401C624A2935}">
  <sheetPr>
    <pageSetUpPr fitToPage="1"/>
  </sheetPr>
  <dimension ref="A1:L51"/>
  <sheetViews>
    <sheetView zoomScale="85" zoomScaleNormal="85" workbookViewId="0">
      <selection activeCell="E42" sqref="E42"/>
    </sheetView>
  </sheetViews>
  <sheetFormatPr defaultColWidth="9.140625" defaultRowHeight="15" x14ac:dyDescent="0.25"/>
  <cols>
    <col min="1" max="1" width="47.28515625" style="3" customWidth="1"/>
    <col min="2" max="2" width="18.7109375" style="3" customWidth="1"/>
    <col min="3" max="3" width="1.28515625" style="3" customWidth="1"/>
    <col min="4" max="4" width="18.7109375" style="3" customWidth="1"/>
    <col min="5" max="5" width="18.7109375" style="412" customWidth="1"/>
    <col min="6" max="7" width="18.7109375" style="3" customWidth="1"/>
    <col min="8" max="8" width="18.7109375" style="412" customWidth="1"/>
    <col min="9" max="9" width="18.7109375" style="3" customWidth="1"/>
    <col min="10" max="10" width="1.140625" style="3" customWidth="1"/>
    <col min="11" max="11" width="18.7109375" style="3" customWidth="1"/>
    <col min="12" max="12" width="9.85546875" style="3" customWidth="1"/>
    <col min="13" max="16384" width="9.140625" style="3"/>
  </cols>
  <sheetData>
    <row r="1" spans="1:12" x14ac:dyDescent="0.25">
      <c r="A1" s="41" t="s">
        <v>203</v>
      </c>
      <c r="B1" s="392"/>
      <c r="C1" s="392"/>
      <c r="D1" s="392"/>
      <c r="E1" s="392"/>
      <c r="F1" s="392"/>
      <c r="G1" s="392"/>
      <c r="H1" s="392"/>
      <c r="I1" s="392"/>
      <c r="J1" s="392"/>
      <c r="K1" s="392"/>
      <c r="L1" s="43"/>
    </row>
    <row r="2" spans="1:12" x14ac:dyDescent="0.25">
      <c r="A2" s="42" t="s">
        <v>201</v>
      </c>
      <c r="B2" s="392"/>
      <c r="C2" s="392"/>
      <c r="D2" s="487"/>
      <c r="E2" s="487"/>
      <c r="F2" s="487"/>
      <c r="G2" s="487"/>
      <c r="H2" s="487"/>
      <c r="I2" s="487"/>
      <c r="J2" s="392"/>
      <c r="K2" s="392"/>
      <c r="L2" s="43"/>
    </row>
    <row r="3" spans="1:12" ht="4.5" customHeight="1" x14ac:dyDescent="0.25">
      <c r="A3" s="43"/>
      <c r="B3" s="43"/>
      <c r="C3" s="43"/>
      <c r="D3" s="487"/>
      <c r="E3" s="487"/>
      <c r="F3" s="487"/>
      <c r="G3" s="487"/>
      <c r="H3" s="487"/>
      <c r="I3" s="487"/>
      <c r="J3" s="43"/>
      <c r="K3" s="43"/>
      <c r="L3" s="43"/>
    </row>
    <row r="4" spans="1:12" x14ac:dyDescent="0.25">
      <c r="A4" s="43"/>
      <c r="B4" s="393" t="s">
        <v>54</v>
      </c>
      <c r="C4" s="394"/>
      <c r="D4" s="488" t="s">
        <v>164</v>
      </c>
      <c r="E4" s="488"/>
      <c r="F4" s="488"/>
      <c r="G4" s="488"/>
      <c r="H4" s="488"/>
      <c r="I4" s="488"/>
      <c r="J4" s="488"/>
      <c r="K4" s="394"/>
      <c r="L4" s="43"/>
    </row>
    <row r="5" spans="1:12" ht="75.75" customHeight="1" x14ac:dyDescent="0.25">
      <c r="A5" s="43"/>
      <c r="B5" s="395" t="s">
        <v>204</v>
      </c>
      <c r="C5" s="396"/>
      <c r="D5" s="397" t="s">
        <v>213</v>
      </c>
      <c r="E5" s="397" t="s">
        <v>211</v>
      </c>
      <c r="F5" s="397" t="s">
        <v>205</v>
      </c>
      <c r="G5" s="47" t="s">
        <v>15</v>
      </c>
      <c r="H5" s="397" t="s">
        <v>199</v>
      </c>
      <c r="I5" s="397" t="s">
        <v>243</v>
      </c>
      <c r="J5" s="398"/>
      <c r="K5" s="397" t="s">
        <v>18</v>
      </c>
      <c r="L5" s="399"/>
    </row>
    <row r="6" spans="1:12" x14ac:dyDescent="0.25">
      <c r="A6" s="49" t="s">
        <v>127</v>
      </c>
      <c r="B6" s="400">
        <v>2428.6999999999998</v>
      </c>
      <c r="C6" s="401"/>
      <c r="D6" s="400"/>
      <c r="E6" s="400"/>
      <c r="F6" s="400"/>
      <c r="G6" s="400"/>
      <c r="H6" s="400"/>
      <c r="I6" s="400"/>
      <c r="J6" s="401"/>
      <c r="K6" s="400">
        <f>B6+SUM(D6:G6)</f>
        <v>2428.6999999999998</v>
      </c>
      <c r="L6" s="399"/>
    </row>
    <row r="7" spans="1:12" x14ac:dyDescent="0.25">
      <c r="A7" s="277" t="s">
        <v>13</v>
      </c>
      <c r="B7" s="189">
        <v>2706.8</v>
      </c>
      <c r="C7" s="399"/>
      <c r="D7" s="189"/>
      <c r="E7" s="189"/>
      <c r="F7" s="189"/>
      <c r="G7" s="189"/>
      <c r="H7" s="189"/>
      <c r="I7" s="189"/>
      <c r="J7" s="103"/>
      <c r="K7" s="189">
        <f>B7+SUM(D7:G7)</f>
        <v>2706.8</v>
      </c>
      <c r="L7" s="399"/>
    </row>
    <row r="8" spans="1:12" x14ac:dyDescent="0.25">
      <c r="A8" s="49" t="s">
        <v>142</v>
      </c>
      <c r="B8" s="402">
        <f>SUM(B6:B7)</f>
        <v>5135.5</v>
      </c>
      <c r="C8" s="393"/>
      <c r="D8" s="402"/>
      <c r="E8" s="402"/>
      <c r="F8" s="402"/>
      <c r="G8" s="402"/>
      <c r="H8" s="402"/>
      <c r="I8" s="402"/>
      <c r="J8" s="403"/>
      <c r="K8" s="402">
        <f>SUM(K6:K7)</f>
        <v>5135.5</v>
      </c>
      <c r="L8" s="103"/>
    </row>
    <row r="9" spans="1:12" ht="3.75" customHeight="1" x14ac:dyDescent="0.25">
      <c r="A9" s="277"/>
      <c r="B9" s="191"/>
      <c r="C9" s="399"/>
      <c r="D9" s="191"/>
      <c r="E9" s="191"/>
      <c r="F9" s="191"/>
      <c r="G9" s="191"/>
      <c r="H9" s="191"/>
      <c r="I9" s="191"/>
      <c r="J9" s="103"/>
      <c r="K9" s="191"/>
      <c r="L9" s="399"/>
    </row>
    <row r="10" spans="1:12" x14ac:dyDescent="0.25">
      <c r="A10" s="277" t="s">
        <v>144</v>
      </c>
      <c r="B10" s="191">
        <v>4022</v>
      </c>
      <c r="C10" s="399"/>
      <c r="D10" s="191"/>
      <c r="E10" s="191"/>
      <c r="F10" s="191">
        <v>-1.5</v>
      </c>
      <c r="G10" s="191"/>
      <c r="H10" s="191"/>
      <c r="I10" s="191"/>
      <c r="J10" s="103"/>
      <c r="K10" s="191">
        <f>B10+SUM(D10:G10)</f>
        <v>4020.5</v>
      </c>
      <c r="L10" s="103"/>
    </row>
    <row r="11" spans="1:12" x14ac:dyDescent="0.25">
      <c r="A11" s="277" t="s">
        <v>141</v>
      </c>
      <c r="B11" s="191">
        <v>792.9</v>
      </c>
      <c r="C11" s="399"/>
      <c r="D11" s="191"/>
      <c r="E11" s="191"/>
      <c r="F11" s="191">
        <v>-14.3</v>
      </c>
      <c r="G11" s="191">
        <v>-7.3</v>
      </c>
      <c r="H11" s="191"/>
      <c r="I11" s="191"/>
      <c r="J11" s="103"/>
      <c r="K11" s="191">
        <f>B11+SUM(D11:G11)</f>
        <v>771.3</v>
      </c>
      <c r="L11" s="103"/>
    </row>
    <row r="12" spans="1:12" x14ac:dyDescent="0.25">
      <c r="A12" s="277" t="s">
        <v>140</v>
      </c>
      <c r="B12" s="416">
        <v>105.8</v>
      </c>
      <c r="C12" s="417" t="s">
        <v>54</v>
      </c>
      <c r="D12" s="416">
        <v>-22.2</v>
      </c>
      <c r="E12" s="416"/>
      <c r="F12" s="416"/>
      <c r="G12" s="416"/>
      <c r="H12" s="416"/>
      <c r="I12" s="416"/>
      <c r="J12" s="418"/>
      <c r="K12" s="416">
        <f>B12+SUM(D12:G12)</f>
        <v>83.6</v>
      </c>
      <c r="L12" s="103"/>
    </row>
    <row r="13" spans="1:12" s="412" customFormat="1" x14ac:dyDescent="0.25">
      <c r="A13" s="277" t="s">
        <v>211</v>
      </c>
      <c r="B13" s="189">
        <v>89</v>
      </c>
      <c r="C13" s="399"/>
      <c r="D13" s="189"/>
      <c r="E13" s="189">
        <f>-B13</f>
        <v>-89</v>
      </c>
      <c r="F13" s="189"/>
      <c r="G13" s="189"/>
      <c r="H13" s="189"/>
      <c r="I13" s="189"/>
      <c r="J13" s="103"/>
      <c r="K13" s="189">
        <f>B13+SUM(D13:I13)</f>
        <v>0</v>
      </c>
      <c r="L13" s="103"/>
    </row>
    <row r="14" spans="1:12" x14ac:dyDescent="0.25">
      <c r="A14" s="277" t="s">
        <v>3</v>
      </c>
      <c r="B14" s="189">
        <f>SUM(B10:B13)</f>
        <v>5009.7</v>
      </c>
      <c r="C14" s="399"/>
      <c r="D14" s="189">
        <f>SUM(D10:D12)</f>
        <v>-22.2</v>
      </c>
      <c r="E14" s="189">
        <f>SUM(E10:E13)</f>
        <v>-89</v>
      </c>
      <c r="F14" s="189">
        <f>SUM(F10:F12)</f>
        <v>-15.8</v>
      </c>
      <c r="G14" s="189">
        <f>SUM(G10:G12)</f>
        <v>-7.3</v>
      </c>
      <c r="H14" s="189"/>
      <c r="I14" s="189">
        <f>SUM(I10:I12)</f>
        <v>0</v>
      </c>
      <c r="J14" s="103"/>
      <c r="K14" s="189">
        <f>SUM(K10:K12)</f>
        <v>4875.4000000000005</v>
      </c>
      <c r="L14" s="103"/>
    </row>
    <row r="15" spans="1:12" ht="2.65" customHeight="1" x14ac:dyDescent="0.25">
      <c r="A15" s="277"/>
      <c r="B15" s="191"/>
      <c r="C15" s="399"/>
      <c r="D15" s="191"/>
      <c r="E15" s="191"/>
      <c r="F15" s="191"/>
      <c r="G15" s="191"/>
      <c r="H15" s="191"/>
      <c r="I15" s="191"/>
      <c r="J15" s="103"/>
      <c r="K15" s="191"/>
      <c r="L15" s="399"/>
    </row>
    <row r="16" spans="1:12" x14ac:dyDescent="0.25">
      <c r="A16" s="277" t="s">
        <v>4</v>
      </c>
      <c r="B16" s="189">
        <v>19.2</v>
      </c>
      <c r="C16" s="399"/>
      <c r="D16" s="189"/>
      <c r="E16" s="189"/>
      <c r="F16" s="189"/>
      <c r="G16" s="189"/>
      <c r="H16" s="189"/>
      <c r="I16" s="189"/>
      <c r="J16" s="103"/>
      <c r="K16" s="189">
        <f>B16+SUM(D16:G16)</f>
        <v>19.2</v>
      </c>
      <c r="L16" s="103"/>
    </row>
    <row r="17" spans="1:12" ht="3" customHeight="1" x14ac:dyDescent="0.25">
      <c r="A17" s="277"/>
      <c r="B17" s="191"/>
      <c r="C17" s="399"/>
      <c r="D17" s="191"/>
      <c r="E17" s="191"/>
      <c r="F17" s="191"/>
      <c r="G17" s="191"/>
      <c r="H17" s="191"/>
      <c r="I17" s="191"/>
      <c r="J17" s="103"/>
      <c r="K17" s="191"/>
      <c r="L17" s="399"/>
    </row>
    <row r="18" spans="1:12" x14ac:dyDescent="0.25">
      <c r="A18" s="277" t="s">
        <v>5</v>
      </c>
      <c r="B18" s="191">
        <f>+B16-B14+B8</f>
        <v>145</v>
      </c>
      <c r="C18" s="399"/>
      <c r="D18" s="191">
        <f>+D16-D14+D8</f>
        <v>22.2</v>
      </c>
      <c r="E18" s="191">
        <f>+E16-E14+E8</f>
        <v>89</v>
      </c>
      <c r="F18" s="191">
        <f>+F16-F14+F8</f>
        <v>15.8</v>
      </c>
      <c r="G18" s="191">
        <f>+G16-G14+G8</f>
        <v>7.3</v>
      </c>
      <c r="H18" s="191"/>
      <c r="I18" s="191">
        <f>+I16-I14+I8</f>
        <v>0</v>
      </c>
      <c r="J18" s="103"/>
      <c r="K18" s="191">
        <f>+K16-K14+K8</f>
        <v>279.29999999999927</v>
      </c>
      <c r="L18" s="103"/>
    </row>
    <row r="19" spans="1:12" ht="3.75" customHeight="1" x14ac:dyDescent="0.25">
      <c r="A19" s="277"/>
      <c r="B19" s="191"/>
      <c r="C19" s="399"/>
      <c r="D19" s="191"/>
      <c r="E19" s="191"/>
      <c r="F19" s="191"/>
      <c r="G19" s="191"/>
      <c r="H19" s="191"/>
      <c r="I19" s="191"/>
      <c r="J19" s="103"/>
      <c r="K19" s="191"/>
      <c r="L19" s="399"/>
    </row>
    <row r="20" spans="1:12" x14ac:dyDescent="0.25">
      <c r="A20" s="277" t="s">
        <v>139</v>
      </c>
      <c r="B20" s="191">
        <v>72.7</v>
      </c>
      <c r="C20" s="399"/>
      <c r="D20" s="191"/>
      <c r="E20" s="191"/>
      <c r="F20" s="191"/>
      <c r="G20" s="191"/>
      <c r="H20" s="191"/>
      <c r="I20" s="191"/>
      <c r="J20" s="404"/>
      <c r="K20" s="191">
        <f>B20+SUM(D20:G20)</f>
        <v>72.7</v>
      </c>
      <c r="L20" s="404"/>
    </row>
    <row r="21" spans="1:12" x14ac:dyDescent="0.25">
      <c r="A21" s="277" t="s">
        <v>6</v>
      </c>
      <c r="B21" s="191">
        <v>20.8</v>
      </c>
      <c r="C21" s="399"/>
      <c r="D21" s="191"/>
      <c r="E21" s="191"/>
      <c r="F21" s="191"/>
      <c r="G21" s="191"/>
      <c r="H21" s="191"/>
      <c r="I21" s="191"/>
      <c r="J21" s="404"/>
      <c r="K21" s="191">
        <f>B21+SUM(D21:G21)</f>
        <v>20.8</v>
      </c>
      <c r="L21" s="404"/>
    </row>
    <row r="22" spans="1:12" x14ac:dyDescent="0.25">
      <c r="A22" s="277" t="s">
        <v>16</v>
      </c>
      <c r="B22" s="191">
        <v>1.5</v>
      </c>
      <c r="C22" s="399" t="s">
        <v>54</v>
      </c>
      <c r="D22" s="191"/>
      <c r="E22" s="191"/>
      <c r="F22" s="191"/>
      <c r="G22" s="191"/>
      <c r="H22" s="191"/>
      <c r="I22" s="191"/>
      <c r="J22" s="103"/>
      <c r="K22" s="191">
        <f>B22+SUM(D22:G22)</f>
        <v>1.5</v>
      </c>
      <c r="L22" s="103"/>
    </row>
    <row r="23" spans="1:12" x14ac:dyDescent="0.25">
      <c r="A23" s="277" t="s">
        <v>17</v>
      </c>
      <c r="B23" s="416">
        <v>22.7</v>
      </c>
      <c r="C23" s="417" t="s">
        <v>54</v>
      </c>
      <c r="D23" s="416"/>
      <c r="E23" s="416"/>
      <c r="F23" s="416"/>
      <c r="G23" s="416"/>
      <c r="H23" s="416"/>
      <c r="I23" s="416"/>
      <c r="J23" s="418"/>
      <c r="K23" s="416">
        <f>B23+SUM(D23:G23)</f>
        <v>22.7</v>
      </c>
      <c r="L23" s="103"/>
    </row>
    <row r="24" spans="1:12" s="412" customFormat="1" x14ac:dyDescent="0.25">
      <c r="A24" s="277" t="s">
        <v>199</v>
      </c>
      <c r="B24" s="189">
        <v>2.6</v>
      </c>
      <c r="C24" s="399"/>
      <c r="D24" s="189"/>
      <c r="E24" s="189"/>
      <c r="F24" s="189"/>
      <c r="G24" s="189"/>
      <c r="H24" s="189">
        <f>-B24</f>
        <v>-2.6</v>
      </c>
      <c r="I24" s="189"/>
      <c r="J24" s="103"/>
      <c r="K24" s="189">
        <f>B24+SUM(D24:I24)</f>
        <v>0</v>
      </c>
      <c r="L24" s="103"/>
    </row>
    <row r="25" spans="1:12" x14ac:dyDescent="0.25">
      <c r="A25" s="277" t="s">
        <v>193</v>
      </c>
      <c r="B25" s="191">
        <f>+B18+B20+B21+B22-B23-B24</f>
        <v>214.70000000000002</v>
      </c>
      <c r="C25" s="399"/>
      <c r="D25" s="191">
        <f>+D18+D20+D21+D22-D23</f>
        <v>22.2</v>
      </c>
      <c r="E25" s="191">
        <f>+E18+E20+E21+E22-E23</f>
        <v>89</v>
      </c>
      <c r="F25" s="191">
        <f>+F18+F20+F21+F22-F23</f>
        <v>15.8</v>
      </c>
      <c r="G25" s="191">
        <f>+G18+G20+G21+G22-G23</f>
        <v>7.3</v>
      </c>
      <c r="H25" s="191">
        <f>+H18+H20+H21+H22-H23-H24</f>
        <v>2.6</v>
      </c>
      <c r="I25" s="191">
        <f>SUM(I20:I23,I18)</f>
        <v>0</v>
      </c>
      <c r="J25" s="103"/>
      <c r="K25" s="191">
        <f>+K18+K20+K21+K22-K23</f>
        <v>351.59999999999928</v>
      </c>
      <c r="L25" s="103"/>
    </row>
    <row r="26" spans="1:12" x14ac:dyDescent="0.25">
      <c r="A26" s="277" t="s">
        <v>188</v>
      </c>
      <c r="B26" s="191">
        <v>43.9</v>
      </c>
      <c r="C26" s="399" t="s">
        <v>54</v>
      </c>
      <c r="D26" s="191"/>
      <c r="E26" s="191"/>
      <c r="F26" s="191"/>
      <c r="G26" s="191"/>
      <c r="H26" s="191"/>
      <c r="I26" s="191">
        <v>33.799999999999997</v>
      </c>
      <c r="J26" s="103"/>
      <c r="K26" s="191">
        <f>B26+SUM(D26:I26)</f>
        <v>77.699999999999989</v>
      </c>
      <c r="L26" s="103"/>
    </row>
    <row r="27" spans="1:12" x14ac:dyDescent="0.25">
      <c r="A27" s="277" t="s">
        <v>192</v>
      </c>
      <c r="B27" s="282">
        <f>+B50</f>
        <v>0.21075372059529524</v>
      </c>
      <c r="C27" s="399"/>
      <c r="D27" s="405"/>
      <c r="E27" s="405"/>
      <c r="F27" s="405"/>
      <c r="G27" s="405"/>
      <c r="H27" s="405"/>
      <c r="I27" s="405"/>
      <c r="J27" s="103"/>
      <c r="K27" s="282">
        <f>+K50</f>
        <v>0.22508690614136775</v>
      </c>
      <c r="L27" s="103"/>
    </row>
    <row r="28" spans="1:12" x14ac:dyDescent="0.25">
      <c r="A28" s="277" t="s">
        <v>191</v>
      </c>
      <c r="B28" s="191">
        <f>+B25-B26</f>
        <v>170.8</v>
      </c>
      <c r="C28" s="399"/>
      <c r="D28" s="191">
        <f t="shared" ref="D28:K28" si="0">+D25-D26</f>
        <v>22.2</v>
      </c>
      <c r="E28" s="191">
        <f t="shared" ref="E28" si="1">+E25-E26</f>
        <v>89</v>
      </c>
      <c r="F28" s="191">
        <f t="shared" si="0"/>
        <v>15.8</v>
      </c>
      <c r="G28" s="191">
        <f t="shared" si="0"/>
        <v>7.3</v>
      </c>
      <c r="H28" s="191">
        <f t="shared" ref="H28" si="2">+H25-H26</f>
        <v>2.6</v>
      </c>
      <c r="I28" s="191">
        <f t="shared" si="0"/>
        <v>-33.799999999999997</v>
      </c>
      <c r="J28" s="103"/>
      <c r="K28" s="191">
        <f t="shared" si="0"/>
        <v>273.8999999999993</v>
      </c>
      <c r="L28" s="103"/>
    </row>
    <row r="29" spans="1:12" ht="29.25" x14ac:dyDescent="0.25">
      <c r="A29" s="243" t="s">
        <v>206</v>
      </c>
      <c r="B29" s="191">
        <v>6.4</v>
      </c>
      <c r="C29" s="399"/>
      <c r="D29" s="191"/>
      <c r="E29" s="191"/>
      <c r="F29" s="191"/>
      <c r="G29" s="191"/>
      <c r="H29" s="191"/>
      <c r="I29" s="191"/>
      <c r="J29" s="404"/>
      <c r="K29" s="191">
        <f>B29+SUM(D29:G29)</f>
        <v>6.4</v>
      </c>
      <c r="L29" s="404"/>
    </row>
    <row r="30" spans="1:12" s="8" customFormat="1" ht="15.75" thickBot="1" x14ac:dyDescent="0.3">
      <c r="A30" s="49" t="s">
        <v>200</v>
      </c>
      <c r="B30" s="406">
        <f>+B28-B29</f>
        <v>164.4</v>
      </c>
      <c r="C30" s="401"/>
      <c r="D30" s="406">
        <f t="shared" ref="D30:I30" si="3">+D28-D29</f>
        <v>22.2</v>
      </c>
      <c r="E30" s="406">
        <f t="shared" ref="E30" si="4">+E28-E29</f>
        <v>89</v>
      </c>
      <c r="F30" s="406">
        <f t="shared" si="3"/>
        <v>15.8</v>
      </c>
      <c r="G30" s="406">
        <f t="shared" si="3"/>
        <v>7.3</v>
      </c>
      <c r="H30" s="406">
        <f t="shared" ref="H30" si="5">+H28-H29</f>
        <v>2.6</v>
      </c>
      <c r="I30" s="406">
        <f t="shared" si="3"/>
        <v>-33.799999999999997</v>
      </c>
      <c r="J30" s="401"/>
      <c r="K30" s="406">
        <f>+K28-K29</f>
        <v>267.49999999999932</v>
      </c>
      <c r="L30" s="403"/>
    </row>
    <row r="31" spans="1:12" ht="3.75" customHeight="1" thickTop="1" x14ac:dyDescent="0.25">
      <c r="A31" s="277"/>
      <c r="B31" s="191"/>
      <c r="C31" s="399"/>
      <c r="D31" s="191"/>
      <c r="E31" s="191"/>
      <c r="F31" s="191"/>
      <c r="G31" s="191"/>
      <c r="H31" s="191"/>
      <c r="I31" s="191"/>
      <c r="J31" s="399"/>
      <c r="K31" s="191"/>
      <c r="L31" s="399"/>
    </row>
    <row r="32" spans="1:12" ht="15" customHeight="1" x14ac:dyDescent="0.25">
      <c r="A32" s="277" t="s">
        <v>189</v>
      </c>
      <c r="B32" s="191">
        <f>B22</f>
        <v>1.5</v>
      </c>
      <c r="C32" s="399" t="s">
        <v>54</v>
      </c>
      <c r="D32" s="191"/>
      <c r="E32" s="191"/>
      <c r="F32" s="191"/>
      <c r="G32" s="191"/>
      <c r="H32" s="191"/>
      <c r="I32" s="191"/>
      <c r="J32" s="399"/>
      <c r="K32" s="191">
        <f>K22</f>
        <v>1.5</v>
      </c>
      <c r="L32" s="51" t="s">
        <v>54</v>
      </c>
    </row>
    <row r="33" spans="1:12" ht="15" customHeight="1" x14ac:dyDescent="0.25">
      <c r="A33" s="277" t="s">
        <v>87</v>
      </c>
      <c r="B33" s="191"/>
      <c r="C33" s="399"/>
      <c r="D33" s="191"/>
      <c r="E33" s="191"/>
      <c r="F33" s="191"/>
      <c r="G33" s="191"/>
      <c r="H33" s="191"/>
      <c r="I33" s="191"/>
      <c r="J33" s="399"/>
      <c r="K33" s="191"/>
      <c r="L33" s="399"/>
    </row>
    <row r="34" spans="1:12" ht="15" customHeight="1" x14ac:dyDescent="0.25">
      <c r="A34" s="277" t="s">
        <v>17</v>
      </c>
      <c r="B34" s="191">
        <f>B23</f>
        <v>22.7</v>
      </c>
      <c r="C34" s="399" t="s">
        <v>54</v>
      </c>
      <c r="D34" s="191"/>
      <c r="E34" s="191"/>
      <c r="F34" s="191"/>
      <c r="G34" s="191"/>
      <c r="H34" s="191"/>
      <c r="I34" s="191"/>
      <c r="J34" s="399"/>
      <c r="K34" s="191">
        <f>B34+SUM(D34:G34)</f>
        <v>22.7</v>
      </c>
      <c r="L34" s="399"/>
    </row>
    <row r="35" spans="1:12" s="412" customFormat="1" ht="15" customHeight="1" x14ac:dyDescent="0.25">
      <c r="A35" s="277" t="str">
        <f>+A24</f>
        <v>Write-off of financing costs on extinguished debt</v>
      </c>
      <c r="B35" s="191">
        <f>+B24</f>
        <v>2.6</v>
      </c>
      <c r="C35" s="399"/>
      <c r="D35" s="191"/>
      <c r="E35" s="191"/>
      <c r="F35" s="191"/>
      <c r="G35" s="191"/>
      <c r="H35" s="191">
        <f>-B35</f>
        <v>-2.6</v>
      </c>
      <c r="I35" s="191"/>
      <c r="J35" s="399"/>
      <c r="K35" s="191">
        <f>B35+SUM(D35:I35)</f>
        <v>0</v>
      </c>
      <c r="L35" s="399"/>
    </row>
    <row r="36" spans="1:12" ht="15" customHeight="1" x14ac:dyDescent="0.25">
      <c r="A36" s="277" t="s">
        <v>188</v>
      </c>
      <c r="B36" s="191">
        <f>B26</f>
        <v>43.9</v>
      </c>
      <c r="C36" s="399" t="s">
        <v>54</v>
      </c>
      <c r="D36" s="191"/>
      <c r="E36" s="191"/>
      <c r="F36" s="191"/>
      <c r="G36" s="191"/>
      <c r="H36" s="191"/>
      <c r="I36" s="191">
        <f>I26</f>
        <v>33.799999999999997</v>
      </c>
      <c r="J36" s="399"/>
      <c r="K36" s="191">
        <f>B36+SUM(D36:I36)</f>
        <v>77.699999999999989</v>
      </c>
      <c r="L36" s="399"/>
    </row>
    <row r="37" spans="1:12" ht="15" customHeight="1" x14ac:dyDescent="0.25">
      <c r="A37" s="277" t="str">
        <f>+A12</f>
        <v>Depreciation and amortization</v>
      </c>
      <c r="B37" s="416">
        <f>B12</f>
        <v>105.8</v>
      </c>
      <c r="C37" s="420" t="s">
        <v>54</v>
      </c>
      <c r="D37" s="416">
        <f>D12</f>
        <v>-22.2</v>
      </c>
      <c r="E37" s="416"/>
      <c r="F37" s="416"/>
      <c r="G37" s="416"/>
      <c r="H37" s="416"/>
      <c r="I37" s="416"/>
      <c r="J37" s="419"/>
      <c r="K37" s="416">
        <f>B37+SUM(D37:G37)</f>
        <v>83.6</v>
      </c>
      <c r="L37" s="399"/>
    </row>
    <row r="38" spans="1:12" s="412" customFormat="1" ht="15" customHeight="1" x14ac:dyDescent="0.25">
      <c r="A38" s="277" t="s">
        <v>211</v>
      </c>
      <c r="B38" s="416">
        <f>+B13</f>
        <v>89</v>
      </c>
      <c r="C38" s="411"/>
      <c r="D38" s="416"/>
      <c r="E38" s="416">
        <f>-B38</f>
        <v>-89</v>
      </c>
      <c r="F38" s="416"/>
      <c r="G38" s="416"/>
      <c r="H38" s="416"/>
      <c r="I38" s="416"/>
      <c r="J38" s="419"/>
      <c r="K38" s="191">
        <f>B38+SUM(D38:G38)</f>
        <v>0</v>
      </c>
      <c r="L38" s="399"/>
    </row>
    <row r="39" spans="1:12" s="8" customFormat="1" ht="15" customHeight="1" thickBot="1" x14ac:dyDescent="0.3">
      <c r="A39" s="49" t="s">
        <v>7</v>
      </c>
      <c r="B39" s="406">
        <f>+B30-B32+B35+B34+B36+B37+B38</f>
        <v>426.9</v>
      </c>
      <c r="C39" s="401" t="s">
        <v>54</v>
      </c>
      <c r="D39" s="406">
        <f>+D30-D32+D34+D36+D37</f>
        <v>0</v>
      </c>
      <c r="E39" s="406">
        <f>E38+E30</f>
        <v>0</v>
      </c>
      <c r="F39" s="406">
        <f>+F30-F32+F34+F36+F37</f>
        <v>15.8</v>
      </c>
      <c r="G39" s="406">
        <f>+G30-G32+G34+G36+G37</f>
        <v>7.3</v>
      </c>
      <c r="H39" s="406">
        <f>+H35+H30</f>
        <v>0</v>
      </c>
      <c r="I39" s="406">
        <f>+I30-I32+I34+I36+I37</f>
        <v>0</v>
      </c>
      <c r="J39" s="401"/>
      <c r="K39" s="406">
        <f>+K30-K32+K34+K36+K37</f>
        <v>449.99999999999932</v>
      </c>
      <c r="L39" s="101" t="s">
        <v>54</v>
      </c>
    </row>
    <row r="40" spans="1:12" ht="3.75" customHeight="1" thickTop="1" x14ac:dyDescent="0.25">
      <c r="A40" s="277"/>
      <c r="B40" s="191"/>
      <c r="C40" s="399"/>
      <c r="D40" s="191"/>
      <c r="E40" s="191"/>
      <c r="F40" s="191"/>
      <c r="G40" s="191"/>
      <c r="H40" s="191"/>
      <c r="I40" s="191"/>
      <c r="J40" s="103"/>
      <c r="K40" s="191"/>
      <c r="L40" s="399"/>
    </row>
    <row r="41" spans="1:12" ht="28.5" x14ac:dyDescent="0.25">
      <c r="A41" s="277" t="s">
        <v>187</v>
      </c>
      <c r="B41" s="407">
        <v>340.2</v>
      </c>
      <c r="C41" s="43"/>
      <c r="D41" s="191"/>
      <c r="E41" s="191"/>
      <c r="F41" s="191"/>
      <c r="G41" s="191"/>
      <c r="H41" s="191"/>
      <c r="I41" s="191"/>
      <c r="J41" s="43"/>
      <c r="K41" s="191">
        <f>+B41</f>
        <v>340.2</v>
      </c>
      <c r="L41" s="103"/>
    </row>
    <row r="42" spans="1:12" ht="15.75" thickBot="1" x14ac:dyDescent="0.3">
      <c r="A42" s="277" t="s">
        <v>186</v>
      </c>
      <c r="B42" s="408">
        <f>+B30/B41</f>
        <v>0.48324514991181661</v>
      </c>
      <c r="C42" s="409"/>
      <c r="D42" s="410"/>
      <c r="E42" s="410"/>
      <c r="F42" s="410"/>
      <c r="G42" s="410"/>
      <c r="H42" s="410"/>
      <c r="I42" s="410"/>
      <c r="J42" s="409"/>
      <c r="K42" s="408">
        <f>+K30/K41</f>
        <v>0.78630217519106205</v>
      </c>
      <c r="L42" s="43"/>
    </row>
    <row r="43" spans="1:12" ht="14.65" customHeight="1" thickTop="1" x14ac:dyDescent="0.25">
      <c r="A43" s="43"/>
      <c r="B43" s="43"/>
      <c r="C43" s="43"/>
      <c r="D43" s="43"/>
      <c r="E43" s="43"/>
      <c r="F43" s="43"/>
      <c r="G43" s="43"/>
      <c r="H43" s="43"/>
      <c r="I43" s="43"/>
      <c r="J43" s="43"/>
      <c r="K43" s="43"/>
      <c r="L43" s="43"/>
    </row>
    <row r="44" spans="1:12" ht="4.9000000000000004" customHeight="1" x14ac:dyDescent="0.25">
      <c r="A44" s="107"/>
      <c r="B44" s="105"/>
      <c r="C44" s="105"/>
      <c r="D44" s="105"/>
      <c r="E44" s="105"/>
      <c r="F44" s="105"/>
      <c r="G44" s="105"/>
      <c r="H44" s="105"/>
      <c r="I44" s="105"/>
      <c r="J44" s="105"/>
      <c r="K44" s="105"/>
      <c r="L44" s="105"/>
    </row>
    <row r="45" spans="1:12" s="482" customFormat="1" x14ac:dyDescent="0.25">
      <c r="A45" s="481" t="s">
        <v>185</v>
      </c>
      <c r="B45" s="212"/>
      <c r="C45" s="43"/>
      <c r="D45" s="43"/>
      <c r="E45" s="43"/>
      <c r="F45" s="43"/>
      <c r="G45" s="43"/>
      <c r="H45" s="43"/>
      <c r="I45" s="43"/>
      <c r="J45" s="43"/>
      <c r="K45" s="43"/>
      <c r="L45" s="43"/>
    </row>
    <row r="46" spans="1:12" s="482" customFormat="1" x14ac:dyDescent="0.25">
      <c r="A46" s="483" t="s">
        <v>180</v>
      </c>
      <c r="B46" s="339">
        <f>B26</f>
        <v>43.9</v>
      </c>
      <c r="C46" s="109"/>
      <c r="D46" s="109"/>
      <c r="E46" s="109"/>
      <c r="F46" s="109"/>
      <c r="G46" s="109"/>
      <c r="H46" s="109"/>
      <c r="I46" s="109"/>
      <c r="J46" s="109"/>
      <c r="K46" s="339">
        <f>K26</f>
        <v>77.699999999999989</v>
      </c>
      <c r="L46" s="43"/>
    </row>
    <row r="47" spans="1:12" s="482" customFormat="1" x14ac:dyDescent="0.25">
      <c r="A47" s="483" t="s">
        <v>179</v>
      </c>
      <c r="B47" s="339">
        <f>+B25</f>
        <v>214.70000000000002</v>
      </c>
      <c r="C47" s="109"/>
      <c r="D47" s="109"/>
      <c r="E47" s="109"/>
      <c r="F47" s="109"/>
      <c r="G47" s="109"/>
      <c r="H47" s="109"/>
      <c r="I47" s="109"/>
      <c r="J47" s="109"/>
      <c r="K47" s="339">
        <f>+K25</f>
        <v>351.59999999999928</v>
      </c>
      <c r="L47" s="43"/>
    </row>
    <row r="48" spans="1:12" s="482" customFormat="1" x14ac:dyDescent="0.25">
      <c r="A48" s="483" t="s">
        <v>82</v>
      </c>
      <c r="B48" s="339">
        <f>+B29</f>
        <v>6.4</v>
      </c>
      <c r="C48" s="109"/>
      <c r="D48" s="109"/>
      <c r="E48" s="109"/>
      <c r="F48" s="109"/>
      <c r="G48" s="109"/>
      <c r="H48" s="109"/>
      <c r="I48" s="109"/>
      <c r="J48" s="109"/>
      <c r="K48" s="339">
        <f>+K29</f>
        <v>6.4</v>
      </c>
      <c r="L48" s="43"/>
    </row>
    <row r="49" spans="1:12" s="482" customFormat="1" x14ac:dyDescent="0.25">
      <c r="A49" s="483" t="s">
        <v>178</v>
      </c>
      <c r="B49" s="339">
        <f>+B47-B48</f>
        <v>208.3</v>
      </c>
      <c r="C49" s="109"/>
      <c r="D49" s="109"/>
      <c r="E49" s="109"/>
      <c r="F49" s="109"/>
      <c r="G49" s="109"/>
      <c r="H49" s="109"/>
      <c r="I49" s="109"/>
      <c r="J49" s="109"/>
      <c r="K49" s="339">
        <f>+K47-K48</f>
        <v>345.19999999999931</v>
      </c>
      <c r="L49" s="43"/>
    </row>
    <row r="50" spans="1:12" s="482" customFormat="1" x14ac:dyDescent="0.25">
      <c r="A50" s="483" t="s">
        <v>177</v>
      </c>
      <c r="B50" s="347">
        <f>+B46/B49</f>
        <v>0.21075372059529524</v>
      </c>
      <c r="C50" s="109"/>
      <c r="D50" s="109"/>
      <c r="E50" s="109"/>
      <c r="F50" s="109"/>
      <c r="G50" s="109"/>
      <c r="H50" s="109"/>
      <c r="I50" s="109"/>
      <c r="J50" s="109"/>
      <c r="K50" s="347">
        <f>+K46/K49</f>
        <v>0.22508690614136775</v>
      </c>
      <c r="L50" s="43"/>
    </row>
    <row r="51" spans="1:12" x14ac:dyDescent="0.25">
      <c r="A51" s="43"/>
      <c r="B51" s="43"/>
      <c r="C51" s="43"/>
      <c r="D51" s="43"/>
      <c r="E51" s="43"/>
      <c r="F51" s="43"/>
      <c r="G51" s="43"/>
      <c r="H51" s="43"/>
      <c r="I51" s="43"/>
      <c r="J51" s="43"/>
      <c r="K51" s="43"/>
      <c r="L51" s="43"/>
    </row>
  </sheetData>
  <mergeCells count="3">
    <mergeCell ref="D2:I2"/>
    <mergeCell ref="D3:I3"/>
    <mergeCell ref="D4:J4"/>
  </mergeCells>
  <printOptions horizontalCentered="1"/>
  <pageMargins left="0.45" right="0.45" top="0.75" bottom="0.5" header="0.3" footer="0.3"/>
  <pageSetup scale="64"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24998-B010-41CF-9A6A-9AB32B2A4C68}">
  <sheetPr>
    <pageSetUpPr fitToPage="1"/>
  </sheetPr>
  <dimension ref="A1:L37"/>
  <sheetViews>
    <sheetView showGridLines="0" zoomScale="99" zoomScaleNormal="100" workbookViewId="0"/>
  </sheetViews>
  <sheetFormatPr defaultColWidth="11.7109375" defaultRowHeight="12.75" x14ac:dyDescent="0.2"/>
  <cols>
    <col min="1" max="1" width="51.85546875" style="224" customWidth="1"/>
    <col min="2" max="2" width="1.7109375" style="223" customWidth="1"/>
    <col min="3" max="3" width="11.7109375" style="223" customWidth="1"/>
    <col min="4" max="4" width="1.7109375" style="223" customWidth="1"/>
    <col min="5" max="5" width="11.7109375" style="223" customWidth="1"/>
    <col min="6" max="6" width="1.7109375" style="223" customWidth="1"/>
    <col min="7" max="7" width="11.7109375" style="223" customWidth="1"/>
    <col min="8" max="8" width="1.7109375" style="223" customWidth="1"/>
    <col min="9" max="9" width="15.140625" style="223" bestFit="1" customWidth="1"/>
    <col min="10" max="11" width="1.7109375" style="223" customWidth="1"/>
    <col min="12" max="16384" width="11.7109375" style="223"/>
  </cols>
  <sheetData>
    <row r="1" spans="1:12" s="264" customFormat="1" ht="15" x14ac:dyDescent="0.25">
      <c r="A1" s="266" t="s">
        <v>159</v>
      </c>
      <c r="B1" s="265"/>
      <c r="C1" s="265"/>
      <c r="D1" s="265"/>
      <c r="E1" s="265"/>
      <c r="F1" s="265"/>
      <c r="G1" s="265"/>
      <c r="H1" s="265"/>
      <c r="I1" s="265"/>
    </row>
    <row r="2" spans="1:12" ht="14.25" x14ac:dyDescent="0.2">
      <c r="A2" s="78" t="s">
        <v>61</v>
      </c>
      <c r="B2" s="263"/>
      <c r="C2" s="263"/>
      <c r="D2" s="263"/>
      <c r="E2" s="263"/>
      <c r="F2" s="263"/>
      <c r="G2" s="263"/>
      <c r="H2" s="263"/>
      <c r="I2" s="263"/>
    </row>
    <row r="3" spans="1:12" s="225" customFormat="1" ht="14.1" customHeight="1" x14ac:dyDescent="0.25">
      <c r="A3" s="227"/>
      <c r="B3" s="226"/>
      <c r="C3" s="488" t="s">
        <v>164</v>
      </c>
      <c r="D3" s="488"/>
      <c r="E3" s="488"/>
      <c r="F3" s="488"/>
      <c r="G3" s="488"/>
      <c r="H3" s="488"/>
      <c r="I3" s="488"/>
    </row>
    <row r="4" spans="1:12" s="225" customFormat="1" ht="15.6" customHeight="1" x14ac:dyDescent="0.25">
      <c r="A4" s="227"/>
      <c r="B4" s="226"/>
      <c r="C4" s="421"/>
      <c r="D4" s="421"/>
      <c r="E4" s="422" t="s">
        <v>158</v>
      </c>
      <c r="F4" s="421"/>
      <c r="G4" s="421"/>
      <c r="H4" s="421"/>
      <c r="I4" s="421"/>
    </row>
    <row r="5" spans="1:12" s="225" customFormat="1" ht="13.5" customHeight="1" x14ac:dyDescent="0.25">
      <c r="A5" s="227"/>
      <c r="B5" s="226"/>
      <c r="C5" s="422" t="s">
        <v>97</v>
      </c>
      <c r="D5" s="421"/>
      <c r="E5" s="422" t="s">
        <v>160</v>
      </c>
      <c r="F5" s="421"/>
      <c r="G5" s="422" t="s">
        <v>162</v>
      </c>
      <c r="H5" s="421"/>
      <c r="I5" s="421"/>
    </row>
    <row r="6" spans="1:12" s="225" customFormat="1" ht="12.75" customHeight="1" x14ac:dyDescent="0.25">
      <c r="A6" s="227"/>
      <c r="B6" s="226"/>
      <c r="C6" s="423" t="s">
        <v>157</v>
      </c>
      <c r="D6" s="424"/>
      <c r="E6" s="423" t="s">
        <v>161</v>
      </c>
      <c r="F6" s="424"/>
      <c r="G6" s="423" t="s">
        <v>163</v>
      </c>
      <c r="H6" s="424"/>
      <c r="I6" s="423" t="s">
        <v>156</v>
      </c>
    </row>
    <row r="7" spans="1:12" ht="15" x14ac:dyDescent="0.25">
      <c r="A7" s="242" t="s">
        <v>155</v>
      </c>
      <c r="B7" s="230"/>
      <c r="C7" s="230"/>
      <c r="D7" s="230"/>
      <c r="E7" s="230"/>
      <c r="F7" s="230"/>
      <c r="G7" s="230"/>
      <c r="H7" s="230"/>
      <c r="I7" s="230"/>
    </row>
    <row r="8" spans="1:12" ht="12.75" customHeight="1" x14ac:dyDescent="0.25">
      <c r="A8" s="262" t="s">
        <v>127</v>
      </c>
      <c r="B8" s="246"/>
      <c r="C8" s="260">
        <v>1601.6</v>
      </c>
      <c r="D8" s="230"/>
      <c r="E8" s="260">
        <v>691.9</v>
      </c>
      <c r="F8" s="246"/>
      <c r="G8" s="260">
        <v>135.19999999999999</v>
      </c>
      <c r="H8" s="261"/>
      <c r="I8" s="260">
        <f>SUM(C8:H8)</f>
        <v>2428.6999999999998</v>
      </c>
      <c r="L8" s="425" t="s">
        <v>54</v>
      </c>
    </row>
    <row r="9" spans="1:12" ht="30.6" customHeight="1" x14ac:dyDescent="0.2">
      <c r="A9" s="240" t="s">
        <v>154</v>
      </c>
      <c r="B9" s="239"/>
      <c r="C9" s="244">
        <v>232.8</v>
      </c>
      <c r="D9" s="244"/>
      <c r="E9" s="244">
        <v>2474</v>
      </c>
      <c r="F9" s="426"/>
      <c r="G9" s="244">
        <v>0</v>
      </c>
      <c r="H9" s="244"/>
      <c r="I9" s="244">
        <f>SUM(C9:H9)</f>
        <v>2706.8</v>
      </c>
      <c r="L9" s="425" t="s">
        <v>54</v>
      </c>
    </row>
    <row r="10" spans="1:12" ht="15" x14ac:dyDescent="0.25">
      <c r="A10" s="259" t="s">
        <v>142</v>
      </c>
      <c r="B10" s="246"/>
      <c r="C10" s="257">
        <f>SUM(C8:C9)</f>
        <v>1834.3999999999999</v>
      </c>
      <c r="D10" s="245"/>
      <c r="E10" s="257">
        <f>SUM(E8:E9)</f>
        <v>3165.9</v>
      </c>
      <c r="F10" s="258"/>
      <c r="G10" s="257">
        <f>SUM(G8:G9)</f>
        <v>135.19999999999999</v>
      </c>
      <c r="H10" s="245"/>
      <c r="I10" s="257">
        <f>SUM(I8:I9)</f>
        <v>5135.5</v>
      </c>
      <c r="L10" s="425" t="s">
        <v>54</v>
      </c>
    </row>
    <row r="11" spans="1:12" ht="3.95" customHeight="1" x14ac:dyDescent="0.2">
      <c r="A11" s="242"/>
      <c r="B11" s="226"/>
      <c r="C11" s="226"/>
      <c r="D11" s="226"/>
      <c r="E11" s="226"/>
      <c r="F11" s="226"/>
      <c r="G11" s="226"/>
      <c r="H11" s="226"/>
      <c r="I11" s="226"/>
      <c r="L11" s="425" t="s">
        <v>54</v>
      </c>
    </row>
    <row r="12" spans="1:12" ht="14.25" x14ac:dyDescent="0.2">
      <c r="A12" s="242" t="s">
        <v>153</v>
      </c>
      <c r="B12" s="226"/>
      <c r="C12" s="226"/>
      <c r="D12" s="226"/>
      <c r="E12" s="226"/>
      <c r="F12" s="226"/>
      <c r="G12" s="226"/>
      <c r="H12" s="226"/>
      <c r="I12" s="226"/>
      <c r="L12" s="425"/>
    </row>
    <row r="13" spans="1:12" ht="12.75" customHeight="1" x14ac:dyDescent="0.2">
      <c r="A13" s="256" t="s">
        <v>152</v>
      </c>
      <c r="B13" s="235"/>
      <c r="C13" s="241">
        <v>1083.0999999999999</v>
      </c>
      <c r="D13" s="241"/>
      <c r="E13" s="241">
        <v>2938.9</v>
      </c>
      <c r="F13" s="252"/>
      <c r="G13" s="241">
        <v>0</v>
      </c>
      <c r="H13" s="241"/>
      <c r="I13" s="241">
        <f>SUM(C13:H13)</f>
        <v>4022</v>
      </c>
      <c r="L13" s="425" t="s">
        <v>54</v>
      </c>
    </row>
    <row r="14" spans="1:12" ht="28.15" customHeight="1" x14ac:dyDescent="0.2">
      <c r="A14" s="240" t="s">
        <v>216</v>
      </c>
      <c r="B14" s="239"/>
      <c r="C14" s="244">
        <v>496.7</v>
      </c>
      <c r="D14" s="244"/>
      <c r="E14" s="244">
        <v>135.5</v>
      </c>
      <c r="F14" s="426"/>
      <c r="G14" s="244">
        <v>160.69999999999999</v>
      </c>
      <c r="H14" s="244"/>
      <c r="I14" s="244">
        <f>SUM(C14:H14)</f>
        <v>792.90000000000009</v>
      </c>
      <c r="L14" s="425" t="s">
        <v>54</v>
      </c>
    </row>
    <row r="15" spans="1:12" ht="12.75" customHeight="1" x14ac:dyDescent="0.2">
      <c r="A15" s="256" t="s">
        <v>151</v>
      </c>
      <c r="B15" s="235"/>
      <c r="C15" s="241">
        <v>71.599999999999994</v>
      </c>
      <c r="D15" s="241"/>
      <c r="E15" s="241">
        <v>29.5</v>
      </c>
      <c r="F15" s="252"/>
      <c r="G15" s="241">
        <v>4.7</v>
      </c>
      <c r="H15" s="241"/>
      <c r="I15" s="241">
        <f>SUM(C15:H15)</f>
        <v>105.8</v>
      </c>
      <c r="L15" s="425" t="s">
        <v>54</v>
      </c>
    </row>
    <row r="16" spans="1:12" ht="12.75" customHeight="1" x14ac:dyDescent="0.2">
      <c r="A16" s="256" t="s">
        <v>211</v>
      </c>
      <c r="B16" s="235"/>
      <c r="C16" s="241">
        <v>0</v>
      </c>
      <c r="D16" s="241"/>
      <c r="E16" s="241">
        <v>0</v>
      </c>
      <c r="F16" s="252"/>
      <c r="G16" s="241">
        <v>89</v>
      </c>
      <c r="H16" s="241"/>
      <c r="I16" s="241">
        <f>SUM(C16:H16)</f>
        <v>89</v>
      </c>
      <c r="L16" s="425" t="s">
        <v>54</v>
      </c>
    </row>
    <row r="17" spans="1:12" ht="14.25" x14ac:dyDescent="0.2">
      <c r="A17" s="255" t="s">
        <v>3</v>
      </c>
      <c r="B17" s="235"/>
      <c r="C17" s="254">
        <f>SUM(C13:C16)</f>
        <v>1651.3999999999999</v>
      </c>
      <c r="D17" s="241"/>
      <c r="E17" s="254">
        <f>SUM(E13:E16)</f>
        <v>3103.9</v>
      </c>
      <c r="F17" s="252"/>
      <c r="G17" s="254">
        <f>SUM(G13:G16)</f>
        <v>254.39999999999998</v>
      </c>
      <c r="H17" s="241"/>
      <c r="I17" s="254">
        <f>SUM(I13:I16)</f>
        <v>5009.7</v>
      </c>
      <c r="L17" s="425" t="s">
        <v>54</v>
      </c>
    </row>
    <row r="18" spans="1:12" ht="3.95" customHeight="1" x14ac:dyDescent="0.2">
      <c r="A18" s="227"/>
      <c r="B18" s="226"/>
      <c r="C18" s="226"/>
      <c r="D18" s="226"/>
      <c r="E18" s="226"/>
      <c r="F18" s="226"/>
      <c r="G18" s="226"/>
      <c r="H18" s="226"/>
      <c r="I18" s="226"/>
      <c r="L18" s="425" t="s">
        <v>54</v>
      </c>
    </row>
    <row r="19" spans="1:12" ht="12.75" customHeight="1" x14ac:dyDescent="0.2">
      <c r="A19" s="227" t="s">
        <v>4</v>
      </c>
      <c r="B19" s="226"/>
      <c r="C19" s="253">
        <v>0</v>
      </c>
      <c r="D19" s="241"/>
      <c r="E19" s="253">
        <v>0</v>
      </c>
      <c r="F19" s="241"/>
      <c r="G19" s="253">
        <v>19.2</v>
      </c>
      <c r="H19" s="241"/>
      <c r="I19" s="253">
        <f>SUM(C19:H19)</f>
        <v>19.2</v>
      </c>
      <c r="L19" s="425" t="s">
        <v>54</v>
      </c>
    </row>
    <row r="20" spans="1:12" ht="2.65" customHeight="1" x14ac:dyDescent="0.2">
      <c r="A20" s="227"/>
      <c r="B20" s="226"/>
      <c r="C20" s="241"/>
      <c r="D20" s="241"/>
      <c r="E20" s="241"/>
      <c r="F20" s="241"/>
      <c r="G20" s="241"/>
      <c r="H20" s="241"/>
      <c r="I20" s="241"/>
      <c r="L20" s="425" t="s">
        <v>54</v>
      </c>
    </row>
    <row r="21" spans="1:12" ht="14.25" x14ac:dyDescent="0.2">
      <c r="A21" s="227" t="s">
        <v>143</v>
      </c>
      <c r="B21" s="226"/>
      <c r="C21" s="241">
        <f>+C10-C17+C19</f>
        <v>183</v>
      </c>
      <c r="D21" s="241"/>
      <c r="E21" s="241">
        <f>+E10-E17+E19</f>
        <v>62</v>
      </c>
      <c r="F21" s="241"/>
      <c r="G21" s="241">
        <f>+G10-G17+G19</f>
        <v>-99.999999999999986</v>
      </c>
      <c r="H21" s="241"/>
      <c r="I21" s="241">
        <f>+I10-I17+I19</f>
        <v>145.00000000000017</v>
      </c>
      <c r="L21" s="425" t="s">
        <v>169</v>
      </c>
    </row>
    <row r="22" spans="1:12" ht="3.4" customHeight="1" x14ac:dyDescent="0.2">
      <c r="A22" s="227"/>
      <c r="B22" s="226"/>
      <c r="C22" s="226"/>
      <c r="D22" s="226"/>
      <c r="E22" s="226"/>
      <c r="F22" s="226"/>
      <c r="G22" s="226"/>
      <c r="H22" s="226"/>
      <c r="I22" s="226"/>
      <c r="L22" s="425" t="s">
        <v>169</v>
      </c>
    </row>
    <row r="23" spans="1:12" ht="28.5" x14ac:dyDescent="0.2">
      <c r="A23" s="243" t="s">
        <v>150</v>
      </c>
      <c r="B23" s="235"/>
      <c r="C23" s="241">
        <v>0.7</v>
      </c>
      <c r="D23" s="241"/>
      <c r="E23" s="241">
        <v>-0.8</v>
      </c>
      <c r="F23" s="252"/>
      <c r="G23" s="241">
        <v>72.8</v>
      </c>
      <c r="H23" s="241"/>
      <c r="I23" s="241">
        <f>SUM(C23:H23)</f>
        <v>72.7</v>
      </c>
      <c r="L23" s="425" t="s">
        <v>54</v>
      </c>
    </row>
    <row r="24" spans="1:12" ht="13.9" customHeight="1" x14ac:dyDescent="0.2">
      <c r="A24" s="227" t="s">
        <v>6</v>
      </c>
      <c r="B24" s="226"/>
      <c r="C24" s="241">
        <v>1.6</v>
      </c>
      <c r="D24" s="241"/>
      <c r="E24" s="241">
        <v>0</v>
      </c>
      <c r="F24" s="241"/>
      <c r="G24" s="241">
        <v>19.2</v>
      </c>
      <c r="H24" s="241"/>
      <c r="I24" s="241">
        <f>SUM(C24:H24)</f>
        <v>20.8</v>
      </c>
      <c r="L24" s="425" t="s">
        <v>54</v>
      </c>
    </row>
    <row r="25" spans="1:12" ht="28.15" customHeight="1" x14ac:dyDescent="0.2">
      <c r="A25" s="240" t="s">
        <v>214</v>
      </c>
      <c r="B25" s="250"/>
      <c r="C25" s="244">
        <v>-0.2</v>
      </c>
      <c r="D25" s="244"/>
      <c r="E25" s="244">
        <v>-0.1</v>
      </c>
      <c r="F25" s="244"/>
      <c r="G25" s="244">
        <v>6.7</v>
      </c>
      <c r="H25" s="244"/>
      <c r="I25" s="244">
        <f>SUM(C25:H25)</f>
        <v>6.4</v>
      </c>
      <c r="L25" s="425" t="s">
        <v>54</v>
      </c>
    </row>
    <row r="26" spans="1:12" ht="14.25" customHeight="1" x14ac:dyDescent="0.2">
      <c r="A26" s="251" t="s">
        <v>136</v>
      </c>
      <c r="B26" s="250"/>
      <c r="C26" s="241">
        <f>+C15</f>
        <v>71.599999999999994</v>
      </c>
      <c r="D26" s="241"/>
      <c r="E26" s="241">
        <f>+E15</f>
        <v>29.5</v>
      </c>
      <c r="F26" s="241"/>
      <c r="G26" s="241">
        <f>+G15</f>
        <v>4.7</v>
      </c>
      <c r="H26" s="241"/>
      <c r="I26" s="241">
        <f>SUM(C26:H26)</f>
        <v>105.8</v>
      </c>
      <c r="L26" s="425" t="s">
        <v>54</v>
      </c>
    </row>
    <row r="27" spans="1:12" ht="14.25" x14ac:dyDescent="0.2">
      <c r="A27" s="251" t="s">
        <v>215</v>
      </c>
      <c r="B27" s="250"/>
      <c r="C27" s="244">
        <v>0</v>
      </c>
      <c r="D27" s="244"/>
      <c r="E27" s="244">
        <v>0</v>
      </c>
      <c r="F27" s="244"/>
      <c r="G27" s="244">
        <f>+G16</f>
        <v>89</v>
      </c>
      <c r="H27" s="244"/>
      <c r="I27" s="244">
        <f>SUM(C27:H27)</f>
        <v>89</v>
      </c>
      <c r="L27" s="425" t="s">
        <v>54</v>
      </c>
    </row>
    <row r="28" spans="1:12" ht="3.4" customHeight="1" x14ac:dyDescent="0.2">
      <c r="A28" s="249"/>
      <c r="B28" s="226"/>
      <c r="C28" s="248"/>
      <c r="D28" s="241"/>
      <c r="E28" s="248"/>
      <c r="F28" s="241"/>
      <c r="G28" s="248"/>
      <c r="H28" s="241"/>
      <c r="I28" s="248"/>
      <c r="L28" s="425" t="s">
        <v>54</v>
      </c>
    </row>
    <row r="29" spans="1:12" ht="15" customHeight="1" x14ac:dyDescent="0.25">
      <c r="A29" s="247" t="s">
        <v>7</v>
      </c>
      <c r="B29" s="246"/>
      <c r="C29" s="245">
        <f>C21+C23+C24-C25+C26+C27</f>
        <v>257.09999999999997</v>
      </c>
      <c r="D29" s="245"/>
      <c r="E29" s="245">
        <f>E21+E23+E24-E25+E26+E27</f>
        <v>90.800000000000011</v>
      </c>
      <c r="F29" s="245"/>
      <c r="G29" s="245">
        <f>G21+G23+G24-G25+G26+G27</f>
        <v>79.000000000000014</v>
      </c>
      <c r="H29" s="245"/>
      <c r="I29" s="245">
        <f>I21+I23+I24-I25+I26+I27</f>
        <v>426.90000000000015</v>
      </c>
      <c r="L29" s="425" t="s">
        <v>54</v>
      </c>
    </row>
    <row r="30" spans="1:12" ht="3.95" customHeight="1" x14ac:dyDescent="0.2">
      <c r="A30" s="243"/>
      <c r="B30" s="235"/>
      <c r="C30" s="226"/>
      <c r="D30" s="226"/>
      <c r="E30" s="226"/>
      <c r="F30" s="226"/>
      <c r="G30" s="226"/>
      <c r="H30" s="226"/>
      <c r="I30" s="226"/>
      <c r="L30" s="425"/>
    </row>
    <row r="31" spans="1:12" ht="14.25" x14ac:dyDescent="0.2">
      <c r="A31" s="242" t="s">
        <v>93</v>
      </c>
      <c r="B31" s="235"/>
      <c r="C31" s="226"/>
      <c r="D31" s="226"/>
      <c r="E31" s="226"/>
      <c r="F31" s="235"/>
      <c r="G31" s="226"/>
      <c r="H31" s="226"/>
      <c r="I31" s="226"/>
      <c r="L31" s="425"/>
    </row>
    <row r="32" spans="1:12" ht="14.25" x14ac:dyDescent="0.2">
      <c r="A32" s="242" t="s">
        <v>149</v>
      </c>
      <c r="B32" s="235"/>
      <c r="C32" s="233">
        <v>6.7</v>
      </c>
      <c r="D32" s="233"/>
      <c r="E32" s="233">
        <v>8.9</v>
      </c>
      <c r="F32" s="234"/>
      <c r="G32" s="233">
        <v>0.2</v>
      </c>
      <c r="H32" s="233"/>
      <c r="I32" s="241">
        <f>SUM(C32:H32)</f>
        <v>15.8</v>
      </c>
      <c r="L32" s="425" t="s">
        <v>54</v>
      </c>
    </row>
    <row r="33" spans="1:12" ht="14.25" x14ac:dyDescent="0.2">
      <c r="A33" s="242" t="s">
        <v>238</v>
      </c>
      <c r="B33" s="235"/>
      <c r="C33" s="233"/>
      <c r="D33" s="233"/>
      <c r="E33" s="233"/>
      <c r="F33" s="234"/>
      <c r="G33" s="233"/>
      <c r="H33" s="233"/>
      <c r="I33" s="241"/>
      <c r="L33" s="425"/>
    </row>
    <row r="34" spans="1:12" ht="36" customHeight="1" x14ac:dyDescent="0.2">
      <c r="A34" s="240" t="s">
        <v>212</v>
      </c>
      <c r="B34" s="239"/>
      <c r="C34" s="244">
        <v>0</v>
      </c>
      <c r="D34" s="237"/>
      <c r="E34" s="244">
        <v>0</v>
      </c>
      <c r="F34" s="238"/>
      <c r="G34" s="237">
        <v>7.3</v>
      </c>
      <c r="H34" s="237"/>
      <c r="I34" s="237">
        <f>SUM(C34:H34)</f>
        <v>7.3</v>
      </c>
      <c r="L34" s="425" t="s">
        <v>54</v>
      </c>
    </row>
    <row r="35" spans="1:12" ht="4.3499999999999996" customHeight="1" x14ac:dyDescent="0.2">
      <c r="A35" s="236"/>
      <c r="B35" s="235"/>
      <c r="C35" s="232"/>
      <c r="D35" s="233"/>
      <c r="E35" s="232"/>
      <c r="F35" s="234"/>
      <c r="G35" s="232"/>
      <c r="H35" s="233"/>
      <c r="I35" s="232"/>
      <c r="L35" s="425" t="s">
        <v>54</v>
      </c>
    </row>
    <row r="36" spans="1:12" ht="13.5" customHeight="1" thickBot="1" x14ac:dyDescent="0.3">
      <c r="A36" s="231" t="s">
        <v>8</v>
      </c>
      <c r="B36" s="230"/>
      <c r="C36" s="228">
        <f>SUM(C29:C34)</f>
        <v>263.79999999999995</v>
      </c>
      <c r="D36" s="229"/>
      <c r="E36" s="228">
        <f>SUM(E29:E34)</f>
        <v>99.700000000000017</v>
      </c>
      <c r="F36" s="229"/>
      <c r="G36" s="228">
        <f>SUM(G29:G34)</f>
        <v>86.500000000000014</v>
      </c>
      <c r="H36" s="229"/>
      <c r="I36" s="228">
        <f>ROUNDDOWN(SUM(I29:I34),1)</f>
        <v>450</v>
      </c>
      <c r="L36" s="425" t="s">
        <v>54</v>
      </c>
    </row>
    <row r="37" spans="1:12" ht="15" thickTop="1" x14ac:dyDescent="0.2">
      <c r="A37" s="227"/>
      <c r="B37" s="226"/>
      <c r="C37" s="226"/>
      <c r="D37" s="226"/>
      <c r="E37" s="226"/>
      <c r="F37" s="226"/>
      <c r="G37" s="226"/>
      <c r="H37" s="226"/>
      <c r="I37" s="226"/>
    </row>
  </sheetData>
  <mergeCells count="1">
    <mergeCell ref="C3:I3"/>
  </mergeCells>
  <printOptions horizontalCentered="1"/>
  <pageMargins left="0.5" right="0.5" top="0.75" bottom="0.5" header="0.3" footer="0.3"/>
  <pageSetup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1DFC-F919-4632-8D92-96F140A4564A}">
  <dimension ref="A1:L77"/>
  <sheetViews>
    <sheetView zoomScaleNormal="100" zoomScaleSheetLayoutView="100" workbookViewId="0">
      <pane xSplit="1" ySplit="3" topLeftCell="B4" activePane="bottomRight" state="frozen"/>
      <selection activeCell="B55" sqref="B55"/>
      <selection pane="topRight" activeCell="B55" sqref="B55"/>
      <selection pane="bottomLeft" activeCell="B55" sqref="B55"/>
      <selection pane="bottomRight" activeCell="A2" sqref="A2"/>
    </sheetView>
  </sheetViews>
  <sheetFormatPr defaultColWidth="9.140625" defaultRowHeight="15" outlineLevelCol="1" x14ac:dyDescent="0.25"/>
  <cols>
    <col min="1" max="1" width="46.42578125" style="1" customWidth="1"/>
    <col min="2" max="2" width="9.28515625" style="268" customWidth="1" outlineLevel="1"/>
    <col min="3" max="3" width="9.28515625" style="267" customWidth="1" outlineLevel="1"/>
    <col min="4" max="4" width="9.140625" style="267" customWidth="1" outlineLevel="1"/>
    <col min="5" max="5" width="9.140625" style="3" customWidth="1" outlineLevel="1"/>
    <col min="6" max="6" width="10.42578125" style="3" bestFit="1" customWidth="1"/>
    <col min="7" max="10" width="9.140625" style="3" customWidth="1" outlineLevel="1"/>
    <col min="11" max="11" width="10.42578125" style="3" bestFit="1" customWidth="1"/>
    <col min="12" max="16384" width="9.140625" style="3"/>
  </cols>
  <sheetData>
    <row r="1" spans="1:12" x14ac:dyDescent="0.25">
      <c r="A1" s="41" t="s">
        <v>170</v>
      </c>
      <c r="B1" s="267"/>
    </row>
    <row r="2" spans="1:12" x14ac:dyDescent="0.25">
      <c r="A2" s="43" t="s">
        <v>61</v>
      </c>
      <c r="B2" s="161"/>
      <c r="C2" s="161"/>
      <c r="D2" s="161"/>
      <c r="E2" s="161"/>
      <c r="F2" s="161"/>
    </row>
    <row r="3" spans="1:12" x14ac:dyDescent="0.25">
      <c r="A3" s="43"/>
      <c r="B3" s="46" t="s">
        <v>0</v>
      </c>
      <c r="C3" s="47" t="s">
        <v>1</v>
      </c>
      <c r="D3" s="47" t="s">
        <v>45</v>
      </c>
      <c r="E3" s="47" t="s">
        <v>46</v>
      </c>
      <c r="F3" s="178">
        <v>2017</v>
      </c>
      <c r="G3" s="46" t="s">
        <v>47</v>
      </c>
      <c r="H3" s="47" t="s">
        <v>44</v>
      </c>
      <c r="I3" s="47" t="s">
        <v>57</v>
      </c>
      <c r="J3" s="47" t="s">
        <v>58</v>
      </c>
      <c r="K3" s="178">
        <v>2018</v>
      </c>
      <c r="L3" s="46" t="s">
        <v>105</v>
      </c>
    </row>
    <row r="4" spans="1:12" x14ac:dyDescent="0.25">
      <c r="A4" s="54" t="s">
        <v>207</v>
      </c>
      <c r="B4" s="303"/>
      <c r="C4" s="301"/>
      <c r="D4" s="301"/>
      <c r="E4" s="301"/>
      <c r="F4" s="300"/>
      <c r="G4" s="303"/>
      <c r="H4" s="57"/>
      <c r="I4" s="57"/>
      <c r="J4" s="57"/>
      <c r="K4" s="326"/>
      <c r="L4" s="303"/>
    </row>
    <row r="5" spans="1:12" x14ac:dyDescent="0.25">
      <c r="A5" s="277" t="s">
        <v>236</v>
      </c>
      <c r="B5" s="314">
        <v>214</v>
      </c>
      <c r="C5" s="193">
        <v>238.8</v>
      </c>
      <c r="D5" s="306">
        <f>249.2-0.1</f>
        <v>249.1</v>
      </c>
      <c r="E5" s="306">
        <v>301.2</v>
      </c>
      <c r="F5" s="314">
        <f>+B5+C5+D5+E5</f>
        <v>1003.0999999999999</v>
      </c>
      <c r="G5" s="314">
        <v>272</v>
      </c>
      <c r="H5" s="193">
        <v>293.3</v>
      </c>
      <c r="I5" s="193">
        <f>287.5-0.1</f>
        <v>287.39999999999998</v>
      </c>
      <c r="J5" s="193">
        <v>328.4</v>
      </c>
      <c r="K5" s="314">
        <f>+G5+H5+I5+J5</f>
        <v>1181.0999999999999</v>
      </c>
      <c r="L5" s="314">
        <v>288.10000000000002</v>
      </c>
    </row>
    <row r="6" spans="1:12" x14ac:dyDescent="0.25">
      <c r="A6" s="277" t="s">
        <v>11</v>
      </c>
      <c r="B6" s="314">
        <v>122.7</v>
      </c>
      <c r="C6" s="193">
        <f>135.8-0.1</f>
        <v>135.70000000000002</v>
      </c>
      <c r="D6" s="306">
        <v>133.19999999999999</v>
      </c>
      <c r="E6" s="306">
        <v>164.4</v>
      </c>
      <c r="F6" s="314">
        <f t="shared" ref="F6:F10" si="0">+B6+C6+D6+E6</f>
        <v>556</v>
      </c>
      <c r="G6" s="314">
        <v>134.19999999999999</v>
      </c>
      <c r="H6" s="193">
        <v>147.4</v>
      </c>
      <c r="I6" s="193">
        <v>143.80000000000001</v>
      </c>
      <c r="J6" s="193">
        <v>173.4</v>
      </c>
      <c r="K6" s="314">
        <f t="shared" ref="K6:K10" si="1">+G6+H6+I6+J6</f>
        <v>598.80000000000007</v>
      </c>
      <c r="L6" s="314">
        <v>138.30000000000001</v>
      </c>
    </row>
    <row r="7" spans="1:12" x14ac:dyDescent="0.25">
      <c r="A7" s="277" t="s">
        <v>52</v>
      </c>
      <c r="B7" s="314">
        <v>36.4</v>
      </c>
      <c r="C7" s="193">
        <f>39.9</f>
        <v>39.9</v>
      </c>
      <c r="D7" s="306">
        <v>38.299999999999997</v>
      </c>
      <c r="E7" s="306">
        <v>42.8</v>
      </c>
      <c r="F7" s="314">
        <f t="shared" si="0"/>
        <v>157.39999999999998</v>
      </c>
      <c r="G7" s="314">
        <v>41.8</v>
      </c>
      <c r="H7" s="193">
        <v>43.9</v>
      </c>
      <c r="I7" s="193">
        <v>46.5</v>
      </c>
      <c r="J7" s="193">
        <v>51.2</v>
      </c>
      <c r="K7" s="314">
        <f t="shared" si="1"/>
        <v>183.39999999999998</v>
      </c>
      <c r="L7" s="314">
        <v>46</v>
      </c>
    </row>
    <row r="8" spans="1:12" x14ac:dyDescent="0.25">
      <c r="A8" s="277" t="s">
        <v>100</v>
      </c>
      <c r="B8" s="314">
        <v>479.5</v>
      </c>
      <c r="C8" s="193">
        <v>574.4</v>
      </c>
      <c r="D8" s="306">
        <v>642.5</v>
      </c>
      <c r="E8" s="306">
        <v>895.8</v>
      </c>
      <c r="F8" s="314">
        <f t="shared" si="0"/>
        <v>2592.1999999999998</v>
      </c>
      <c r="G8" s="314">
        <v>517.5</v>
      </c>
      <c r="H8" s="193">
        <v>687.4</v>
      </c>
      <c r="I8" s="193">
        <v>751.8</v>
      </c>
      <c r="J8" s="193">
        <v>1123.4000000000001</v>
      </c>
      <c r="K8" s="314">
        <f t="shared" si="1"/>
        <v>3080.1000000000004</v>
      </c>
      <c r="L8" s="314">
        <v>622.6</v>
      </c>
    </row>
    <row r="9" spans="1:12" x14ac:dyDescent="0.25">
      <c r="A9" s="277" t="s">
        <v>241</v>
      </c>
      <c r="B9" s="314">
        <v>363.6</v>
      </c>
      <c r="C9" s="193">
        <f>447.8</f>
        <v>447.8</v>
      </c>
      <c r="D9" s="306">
        <v>465.9</v>
      </c>
      <c r="E9" s="306">
        <v>592.6</v>
      </c>
      <c r="F9" s="314">
        <f t="shared" si="0"/>
        <v>1869.9</v>
      </c>
      <c r="G9" s="314">
        <v>413.7</v>
      </c>
      <c r="H9" s="193">
        <v>457.4</v>
      </c>
      <c r="I9" s="193">
        <v>486.4</v>
      </c>
      <c r="J9" s="193">
        <v>623.4</v>
      </c>
      <c r="K9" s="314">
        <f t="shared" si="1"/>
        <v>1980.9</v>
      </c>
      <c r="L9" s="314">
        <v>385.7</v>
      </c>
    </row>
    <row r="10" spans="1:12" x14ac:dyDescent="0.25">
      <c r="A10" s="45" t="s">
        <v>239</v>
      </c>
      <c r="B10" s="312">
        <v>86.2</v>
      </c>
      <c r="C10" s="195">
        <v>106.1</v>
      </c>
      <c r="D10" s="313">
        <v>109.7</v>
      </c>
      <c r="E10" s="313">
        <v>153.6</v>
      </c>
      <c r="F10" s="310">
        <f t="shared" si="0"/>
        <v>455.6</v>
      </c>
      <c r="G10" s="312">
        <f>107.4+0.1</f>
        <v>107.5</v>
      </c>
      <c r="H10" s="195">
        <v>120.8</v>
      </c>
      <c r="I10" s="195">
        <v>132.5</v>
      </c>
      <c r="J10" s="195">
        <v>178.6</v>
      </c>
      <c r="K10" s="310">
        <f t="shared" si="1"/>
        <v>539.4</v>
      </c>
      <c r="L10" s="312">
        <v>120.9</v>
      </c>
    </row>
    <row r="11" spans="1:12" s="8" customFormat="1" x14ac:dyDescent="0.25">
      <c r="A11" s="49" t="s">
        <v>168</v>
      </c>
      <c r="B11" s="324">
        <f>SUM(B5:B10)</f>
        <v>1302.3999999999999</v>
      </c>
      <c r="C11" s="323">
        <f t="shared" ref="C11:J11" si="2">SUM(C5:C10)</f>
        <v>1542.6999999999998</v>
      </c>
      <c r="D11" s="323">
        <f t="shared" si="2"/>
        <v>1638.7</v>
      </c>
      <c r="E11" s="323">
        <f t="shared" si="2"/>
        <v>2150.4</v>
      </c>
      <c r="F11" s="325">
        <f t="shared" si="2"/>
        <v>6634.2000000000007</v>
      </c>
      <c r="G11" s="324">
        <f t="shared" si="2"/>
        <v>1486.7</v>
      </c>
      <c r="H11" s="323">
        <f t="shared" si="2"/>
        <v>1750.2</v>
      </c>
      <c r="I11" s="323">
        <f t="shared" si="2"/>
        <v>1848.4</v>
      </c>
      <c r="J11" s="323">
        <f t="shared" si="2"/>
        <v>2478.4</v>
      </c>
      <c r="K11" s="325">
        <f t="shared" ref="K11" si="3">SUM(K5:K10)</f>
        <v>7563.7000000000007</v>
      </c>
      <c r="L11" s="324">
        <f t="shared" ref="L11" si="4">SUM(L5:L10)</f>
        <v>1601.6000000000001</v>
      </c>
    </row>
    <row r="12" spans="1:12" ht="15" customHeight="1" x14ac:dyDescent="0.25">
      <c r="A12" s="277" t="s">
        <v>13</v>
      </c>
      <c r="B12" s="314">
        <f>1479.4-B11</f>
        <v>177.00000000000023</v>
      </c>
      <c r="C12" s="193">
        <f>1723.9-C11</f>
        <v>181.20000000000027</v>
      </c>
      <c r="D12" s="306">
        <f>1823.4-D11</f>
        <v>184.70000000000005</v>
      </c>
      <c r="E12" s="306">
        <f>2353-E11</f>
        <v>202.59999999999991</v>
      </c>
      <c r="F12" s="314">
        <f>+B12+C12+D12+E12</f>
        <v>745.50000000000045</v>
      </c>
      <c r="G12" s="314">
        <f>1699.4-G11</f>
        <v>212.70000000000005</v>
      </c>
      <c r="H12" s="193">
        <f>1959.1-H11</f>
        <v>208.89999999999986</v>
      </c>
      <c r="I12" s="193">
        <f>2059.4-I11</f>
        <v>211</v>
      </c>
      <c r="J12" s="193">
        <f>2722.1-J11</f>
        <v>243.69999999999982</v>
      </c>
      <c r="K12" s="314">
        <f>+G12+H12+I12+J12</f>
        <v>876.29999999999973</v>
      </c>
      <c r="L12" s="314">
        <f>1834.4-L11</f>
        <v>232.79999999999995</v>
      </c>
    </row>
    <row r="13" spans="1:12" x14ac:dyDescent="0.25">
      <c r="A13" s="277" t="s">
        <v>142</v>
      </c>
      <c r="B13" s="314">
        <f>+B12+B11</f>
        <v>1479.4</v>
      </c>
      <c r="C13" s="322">
        <f t="shared" ref="C13:J13" si="5">+C12+C11</f>
        <v>1723.9</v>
      </c>
      <c r="D13" s="306">
        <f t="shared" si="5"/>
        <v>1823.4</v>
      </c>
      <c r="E13" s="306">
        <f t="shared" si="5"/>
        <v>2353</v>
      </c>
      <c r="F13" s="321">
        <f t="shared" si="5"/>
        <v>7379.7000000000007</v>
      </c>
      <c r="G13" s="314">
        <f t="shared" si="5"/>
        <v>1699.4</v>
      </c>
      <c r="H13" s="322">
        <f t="shared" si="5"/>
        <v>1959.1</v>
      </c>
      <c r="I13" s="322">
        <f t="shared" si="5"/>
        <v>2059.4</v>
      </c>
      <c r="J13" s="322">
        <f t="shared" si="5"/>
        <v>2722.1</v>
      </c>
      <c r="K13" s="321">
        <f t="shared" ref="K13" si="6">+K12+K11</f>
        <v>8440</v>
      </c>
      <c r="L13" s="314">
        <f t="shared" ref="L13" si="7">+L12+L11</f>
        <v>1834.4</v>
      </c>
    </row>
    <row r="14" spans="1:12" x14ac:dyDescent="0.25">
      <c r="A14" s="277"/>
      <c r="B14" s="314"/>
      <c r="C14" s="193"/>
      <c r="D14" s="306"/>
      <c r="E14" s="306"/>
      <c r="F14" s="321"/>
      <c r="G14" s="314"/>
      <c r="H14" s="193"/>
      <c r="I14" s="193"/>
      <c r="J14" s="193"/>
      <c r="K14" s="321"/>
      <c r="L14" s="314"/>
    </row>
    <row r="15" spans="1:12" x14ac:dyDescent="0.25">
      <c r="A15" s="54" t="s">
        <v>147</v>
      </c>
      <c r="B15" s="318"/>
      <c r="C15" s="317"/>
      <c r="D15" s="316"/>
      <c r="E15" s="316"/>
      <c r="F15" s="319"/>
      <c r="G15" s="318"/>
      <c r="H15" s="317"/>
      <c r="I15" s="317"/>
      <c r="J15" s="317"/>
      <c r="K15" s="319"/>
      <c r="L15" s="318"/>
    </row>
    <row r="16" spans="1:12" s="8" customFormat="1" x14ac:dyDescent="0.25">
      <c r="A16" s="49" t="s">
        <v>168</v>
      </c>
      <c r="B16" s="324">
        <v>527.6</v>
      </c>
      <c r="C16" s="323">
        <v>548.5</v>
      </c>
      <c r="D16" s="323">
        <v>581.4</v>
      </c>
      <c r="E16" s="323">
        <v>660.2</v>
      </c>
      <c r="F16" s="325">
        <f>+B16+C16+D16+E16</f>
        <v>2317.6999999999998</v>
      </c>
      <c r="G16" s="324">
        <v>643.20000000000005</v>
      </c>
      <c r="H16" s="323">
        <v>668.1</v>
      </c>
      <c r="I16" s="323">
        <v>653.79999999999995</v>
      </c>
      <c r="J16" s="323">
        <v>774</v>
      </c>
      <c r="K16" s="325">
        <f>+G16+H16+I16+J16</f>
        <v>2739.1000000000004</v>
      </c>
      <c r="L16" s="324">
        <v>691.9</v>
      </c>
    </row>
    <row r="17" spans="1:12" ht="15" customHeight="1" x14ac:dyDescent="0.25">
      <c r="A17" s="277" t="s">
        <v>13</v>
      </c>
      <c r="B17" s="314">
        <f>2467.8-B16</f>
        <v>1940.2000000000003</v>
      </c>
      <c r="C17" s="193">
        <f>2605.9-C16</f>
        <v>2057.4</v>
      </c>
      <c r="D17" s="306">
        <f>2707-D16</f>
        <v>2125.6</v>
      </c>
      <c r="E17" s="306">
        <f>3011.3-E16</f>
        <v>2351.1000000000004</v>
      </c>
      <c r="F17" s="314">
        <f>+B17+C17+D17+E17</f>
        <v>8474.3000000000011</v>
      </c>
      <c r="G17" s="314">
        <f>2827.5-G16</f>
        <v>2184.3000000000002</v>
      </c>
      <c r="H17" s="193">
        <f>3035-H16</f>
        <v>2366.9</v>
      </c>
      <c r="I17" s="193">
        <f>3082.8-I16</f>
        <v>2429</v>
      </c>
      <c r="J17" s="193">
        <f>3420.1-J16</f>
        <v>2646.1</v>
      </c>
      <c r="K17" s="314">
        <f>+G17+H17+I17+J17</f>
        <v>9626.3000000000011</v>
      </c>
      <c r="L17" s="314">
        <f>3165.9-L16</f>
        <v>2474</v>
      </c>
    </row>
    <row r="18" spans="1:12" x14ac:dyDescent="0.25">
      <c r="A18" s="277" t="s">
        <v>142</v>
      </c>
      <c r="B18" s="314">
        <f t="shared" ref="B18:J18" si="8">+B16+B17</f>
        <v>2467.8000000000002</v>
      </c>
      <c r="C18" s="322">
        <f t="shared" si="8"/>
        <v>2605.9</v>
      </c>
      <c r="D18" s="306">
        <f t="shared" si="8"/>
        <v>2707</v>
      </c>
      <c r="E18" s="306">
        <f t="shared" si="8"/>
        <v>3011.3</v>
      </c>
      <c r="F18" s="321">
        <f t="shared" si="8"/>
        <v>10792</v>
      </c>
      <c r="G18" s="314">
        <f t="shared" si="8"/>
        <v>2827.5</v>
      </c>
      <c r="H18" s="322">
        <f t="shared" si="8"/>
        <v>3035</v>
      </c>
      <c r="I18" s="322">
        <f t="shared" si="8"/>
        <v>3082.8</v>
      </c>
      <c r="J18" s="322">
        <f t="shared" si="8"/>
        <v>3420.1</v>
      </c>
      <c r="K18" s="321">
        <f t="shared" ref="K18" si="9">+K16+K17</f>
        <v>12365.400000000001</v>
      </c>
      <c r="L18" s="314">
        <f t="shared" ref="L18" si="10">+L16+L17</f>
        <v>3165.9</v>
      </c>
    </row>
    <row r="19" spans="1:12" x14ac:dyDescent="0.25">
      <c r="A19" s="277"/>
      <c r="B19" s="314"/>
      <c r="C19" s="193"/>
      <c r="D19" s="306"/>
      <c r="E19" s="306"/>
      <c r="F19" s="320"/>
      <c r="K19" s="320"/>
      <c r="L19" s="413"/>
    </row>
    <row r="20" spans="1:12" x14ac:dyDescent="0.25">
      <c r="A20" s="54" t="s">
        <v>148</v>
      </c>
      <c r="B20" s="318"/>
      <c r="C20" s="317"/>
      <c r="D20" s="316"/>
      <c r="E20" s="316"/>
      <c r="F20" s="315"/>
      <c r="G20" s="57"/>
      <c r="H20" s="57"/>
      <c r="I20" s="57"/>
      <c r="J20" s="57"/>
      <c r="K20" s="315"/>
      <c r="L20" s="57"/>
    </row>
    <row r="21" spans="1:12" x14ac:dyDescent="0.25">
      <c r="A21" s="277" t="s">
        <v>103</v>
      </c>
      <c r="B21" s="314">
        <v>14.2</v>
      </c>
      <c r="C21" s="193">
        <v>17</v>
      </c>
      <c r="D21" s="306">
        <v>16.100000000000001</v>
      </c>
      <c r="E21" s="306">
        <v>32.200000000000003</v>
      </c>
      <c r="F21" s="314">
        <f>+B21+C21+D21+E21</f>
        <v>79.5</v>
      </c>
      <c r="G21" s="314">
        <v>23.3</v>
      </c>
      <c r="H21" s="193">
        <v>18.399999999999999</v>
      </c>
      <c r="I21" s="193">
        <v>25.8</v>
      </c>
      <c r="J21" s="193">
        <v>32.799999999999997</v>
      </c>
      <c r="K21" s="314">
        <f>+G21+H21+I21+J21</f>
        <v>100.3</v>
      </c>
      <c r="L21" s="314">
        <v>28.9</v>
      </c>
    </row>
    <row r="22" spans="1:12" x14ac:dyDescent="0.25">
      <c r="A22" s="277" t="s">
        <v>167</v>
      </c>
      <c r="B22" s="314">
        <f>75+0.1</f>
        <v>75.099999999999994</v>
      </c>
      <c r="C22" s="193">
        <f>74</f>
        <v>74</v>
      </c>
      <c r="D22" s="306">
        <v>80.459999999999994</v>
      </c>
      <c r="E22" s="306">
        <v>87.88</v>
      </c>
      <c r="F22" s="314">
        <f t="shared" ref="F22:F28" si="11">+B22+C22+D22+E22</f>
        <v>317.44</v>
      </c>
      <c r="G22" s="314">
        <v>90.1</v>
      </c>
      <c r="H22" s="193">
        <v>86.9</v>
      </c>
      <c r="I22" s="193">
        <v>86.3</v>
      </c>
      <c r="J22" s="193">
        <v>91.1</v>
      </c>
      <c r="K22" s="314">
        <f t="shared" ref="K22:K28" si="12">+G22+H22+I22+J22</f>
        <v>354.4</v>
      </c>
      <c r="L22" s="314">
        <v>88.3</v>
      </c>
    </row>
    <row r="23" spans="1:12" x14ac:dyDescent="0.25">
      <c r="A23" s="277" t="s">
        <v>166</v>
      </c>
      <c r="B23" s="194">
        <v>11.2</v>
      </c>
      <c r="C23" s="193">
        <v>11.4</v>
      </c>
      <c r="D23" s="306">
        <v>9.1999999999999993</v>
      </c>
      <c r="E23" s="306">
        <v>13.18</v>
      </c>
      <c r="F23" s="314">
        <f t="shared" si="11"/>
        <v>44.980000000000004</v>
      </c>
      <c r="G23" s="194">
        <v>8.6999999999999993</v>
      </c>
      <c r="H23" s="193">
        <v>11.9</v>
      </c>
      <c r="I23" s="193">
        <v>6.5</v>
      </c>
      <c r="J23" s="193">
        <v>17.8</v>
      </c>
      <c r="K23" s="314">
        <f t="shared" si="12"/>
        <v>44.900000000000006</v>
      </c>
      <c r="L23" s="194">
        <v>8.4</v>
      </c>
    </row>
    <row r="24" spans="1:12" x14ac:dyDescent="0.25">
      <c r="A24" s="45" t="s">
        <v>165</v>
      </c>
      <c r="B24" s="312">
        <v>3.3</v>
      </c>
      <c r="C24" s="311">
        <v>7.3</v>
      </c>
      <c r="D24" s="313">
        <v>2.48</v>
      </c>
      <c r="E24" s="313">
        <v>2.1</v>
      </c>
      <c r="F24" s="310">
        <f t="shared" si="11"/>
        <v>15.18</v>
      </c>
      <c r="G24" s="312">
        <v>24.9</v>
      </c>
      <c r="H24" s="311">
        <v>0.1</v>
      </c>
      <c r="I24" s="311">
        <v>0.3</v>
      </c>
      <c r="J24" s="311">
        <v>9.8000000000000007</v>
      </c>
      <c r="K24" s="310">
        <f t="shared" si="12"/>
        <v>35.1</v>
      </c>
      <c r="L24" s="312">
        <v>9.6</v>
      </c>
    </row>
    <row r="25" spans="1:12" x14ac:dyDescent="0.25">
      <c r="A25" s="49" t="s">
        <v>142</v>
      </c>
      <c r="B25" s="324">
        <f>SUM(B21:B24)</f>
        <v>103.8</v>
      </c>
      <c r="C25" s="323">
        <f t="shared" ref="C25:J25" si="13">SUM(C21:C24)</f>
        <v>109.7</v>
      </c>
      <c r="D25" s="323">
        <f t="shared" si="13"/>
        <v>108.24000000000001</v>
      </c>
      <c r="E25" s="323">
        <f t="shared" si="13"/>
        <v>135.35999999999999</v>
      </c>
      <c r="F25" s="325">
        <f t="shared" si="13"/>
        <v>457.1</v>
      </c>
      <c r="G25" s="324">
        <f t="shared" si="13"/>
        <v>147</v>
      </c>
      <c r="H25" s="323">
        <f t="shared" si="13"/>
        <v>117.30000000000001</v>
      </c>
      <c r="I25" s="323">
        <f t="shared" si="13"/>
        <v>118.89999999999999</v>
      </c>
      <c r="J25" s="323">
        <f t="shared" si="13"/>
        <v>151.5</v>
      </c>
      <c r="K25" s="325">
        <f t="shared" ref="K25" si="14">SUM(K21:K24)</f>
        <v>534.70000000000005</v>
      </c>
      <c r="L25" s="324">
        <f t="shared" ref="L25" si="15">SUM(L21:L24)</f>
        <v>135.19999999999999</v>
      </c>
    </row>
    <row r="26" spans="1:12" s="413" customFormat="1" ht="28.5" x14ac:dyDescent="0.25">
      <c r="A26" s="277" t="s">
        <v>226</v>
      </c>
      <c r="B26" s="314">
        <v>9.8000000000000007</v>
      </c>
      <c r="C26" s="322">
        <v>69.900000000000006</v>
      </c>
      <c r="D26" s="322">
        <v>64</v>
      </c>
      <c r="E26" s="322">
        <v>45.8</v>
      </c>
      <c r="F26" s="314">
        <f t="shared" si="11"/>
        <v>189.5</v>
      </c>
      <c r="G26" s="314">
        <v>35.700000000000003</v>
      </c>
      <c r="H26" s="322">
        <v>88.2</v>
      </c>
      <c r="I26" s="322">
        <v>123.3</v>
      </c>
      <c r="J26" s="322">
        <v>61.3</v>
      </c>
      <c r="K26" s="314">
        <f t="shared" si="12"/>
        <v>308.5</v>
      </c>
      <c r="L26" s="314">
        <v>72.8</v>
      </c>
    </row>
    <row r="27" spans="1:12" s="413" customFormat="1" x14ac:dyDescent="0.25">
      <c r="A27" s="277" t="s">
        <v>227</v>
      </c>
      <c r="B27" s="314">
        <v>1.4</v>
      </c>
      <c r="C27" s="322">
        <v>11.3</v>
      </c>
      <c r="D27" s="322">
        <v>6.2</v>
      </c>
      <c r="E27" s="322">
        <v>1</v>
      </c>
      <c r="F27" s="314">
        <f t="shared" si="11"/>
        <v>19.900000000000002</v>
      </c>
      <c r="G27" s="314">
        <v>0</v>
      </c>
      <c r="H27" s="322">
        <v>12.3</v>
      </c>
      <c r="I27" s="322">
        <v>0.3</v>
      </c>
      <c r="J27" s="322">
        <v>2.2999999999999998</v>
      </c>
      <c r="K27" s="314">
        <f t="shared" si="12"/>
        <v>14.900000000000002</v>
      </c>
      <c r="L27" s="314">
        <v>19.2</v>
      </c>
    </row>
    <row r="28" spans="1:12" s="413" customFormat="1" x14ac:dyDescent="0.25">
      <c r="A28" s="45" t="s">
        <v>228</v>
      </c>
      <c r="B28" s="312">
        <v>1.6</v>
      </c>
      <c r="C28" s="311">
        <v>1.7</v>
      </c>
      <c r="D28" s="311">
        <v>1</v>
      </c>
      <c r="E28" s="311">
        <v>2.1</v>
      </c>
      <c r="F28" s="310">
        <f t="shared" si="11"/>
        <v>6.4</v>
      </c>
      <c r="G28" s="311">
        <v>0.1</v>
      </c>
      <c r="H28" s="311">
        <v>1.5</v>
      </c>
      <c r="I28" s="311">
        <v>1.2</v>
      </c>
      <c r="J28" s="311">
        <v>-0.3</v>
      </c>
      <c r="K28" s="310">
        <f t="shared" si="12"/>
        <v>2.5</v>
      </c>
      <c r="L28" s="311">
        <v>6.7</v>
      </c>
    </row>
    <row r="29" spans="1:12" s="413" customFormat="1" x14ac:dyDescent="0.25">
      <c r="A29" s="49" t="s">
        <v>225</v>
      </c>
      <c r="B29" s="324">
        <f t="shared" ref="B29:L29" si="16">+B25+B26+B27-B28</f>
        <v>113.4</v>
      </c>
      <c r="C29" s="429">
        <f t="shared" si="16"/>
        <v>189.20000000000005</v>
      </c>
      <c r="D29" s="429">
        <f t="shared" si="16"/>
        <v>177.44</v>
      </c>
      <c r="E29" s="429">
        <f t="shared" si="16"/>
        <v>180.05999999999997</v>
      </c>
      <c r="F29" s="430">
        <f t="shared" si="16"/>
        <v>660.1</v>
      </c>
      <c r="G29" s="430">
        <f t="shared" si="16"/>
        <v>182.6</v>
      </c>
      <c r="H29" s="429">
        <f t="shared" si="16"/>
        <v>216.3</v>
      </c>
      <c r="I29" s="429">
        <f t="shared" si="16"/>
        <v>241.3</v>
      </c>
      <c r="J29" s="429">
        <f t="shared" si="16"/>
        <v>215.40000000000003</v>
      </c>
      <c r="K29" s="430">
        <f t="shared" si="16"/>
        <v>855.6</v>
      </c>
      <c r="L29" s="430">
        <f t="shared" si="16"/>
        <v>220.5</v>
      </c>
    </row>
    <row r="30" spans="1:12" x14ac:dyDescent="0.25">
      <c r="A30" s="277"/>
      <c r="B30" s="309"/>
      <c r="C30" s="191"/>
      <c r="D30" s="306"/>
      <c r="E30" s="306"/>
      <c r="F30" s="87"/>
      <c r="K30" s="4"/>
      <c r="L30" s="413"/>
    </row>
    <row r="31" spans="1:12" ht="30" x14ac:dyDescent="0.25">
      <c r="A31" s="54" t="s">
        <v>209</v>
      </c>
      <c r="B31" s="303"/>
      <c r="C31" s="302"/>
      <c r="D31" s="301"/>
      <c r="E31" s="301"/>
      <c r="F31" s="300"/>
      <c r="G31" s="57"/>
      <c r="H31" s="57"/>
      <c r="I31" s="57"/>
      <c r="J31" s="57"/>
      <c r="K31" s="200"/>
      <c r="L31" s="57"/>
    </row>
    <row r="32" spans="1:12" x14ac:dyDescent="0.25">
      <c r="A32" s="277" t="str">
        <f>+A5</f>
        <v>Property &amp; Advisory Project Management</v>
      </c>
      <c r="B32" s="280" t="s">
        <v>54</v>
      </c>
      <c r="C32" s="279" t="s">
        <v>169</v>
      </c>
      <c r="D32" s="299" t="s">
        <v>54</v>
      </c>
      <c r="E32" s="299" t="s">
        <v>54</v>
      </c>
      <c r="F32" s="278" t="s">
        <v>54</v>
      </c>
      <c r="G32" s="279">
        <f t="shared" ref="G32:L32" si="17">+(G5-B5)/B5</f>
        <v>0.27102803738317754</v>
      </c>
      <c r="H32" s="279">
        <f t="shared" si="17"/>
        <v>0.22822445561139026</v>
      </c>
      <c r="I32" s="279">
        <f t="shared" si="17"/>
        <v>0.15375351264552381</v>
      </c>
      <c r="J32" s="279">
        <f t="shared" si="17"/>
        <v>9.0305444887118155E-2</v>
      </c>
      <c r="K32" s="280">
        <f t="shared" si="17"/>
        <v>0.17744990529358989</v>
      </c>
      <c r="L32" s="280">
        <f t="shared" si="17"/>
        <v>5.9191176470588316E-2</v>
      </c>
    </row>
    <row r="33" spans="1:12" x14ac:dyDescent="0.25">
      <c r="A33" s="277" t="s">
        <v>11</v>
      </c>
      <c r="B33" s="280" t="s">
        <v>54</v>
      </c>
      <c r="C33" s="279" t="s">
        <v>54</v>
      </c>
      <c r="D33" s="276" t="s">
        <v>54</v>
      </c>
      <c r="E33" s="276" t="s">
        <v>54</v>
      </c>
      <c r="F33" s="278" t="s">
        <v>54</v>
      </c>
      <c r="G33" s="279">
        <f t="shared" ref="G33:L38" si="18">+(G6-B6)/B6</f>
        <v>9.372453137734299E-2</v>
      </c>
      <c r="H33" s="279">
        <f t="shared" si="18"/>
        <v>8.6219602063374992E-2</v>
      </c>
      <c r="I33" s="279">
        <f t="shared" si="18"/>
        <v>7.9579579579579757E-2</v>
      </c>
      <c r="J33" s="279">
        <f t="shared" si="18"/>
        <v>5.4744525547445251E-2</v>
      </c>
      <c r="K33" s="280">
        <f t="shared" si="18"/>
        <v>7.6978417266187177E-2</v>
      </c>
      <c r="L33" s="280">
        <f t="shared" si="18"/>
        <v>3.055141579731761E-2</v>
      </c>
    </row>
    <row r="34" spans="1:12" x14ac:dyDescent="0.25">
      <c r="A34" s="277" t="s">
        <v>52</v>
      </c>
      <c r="B34" s="280" t="s">
        <v>54</v>
      </c>
      <c r="C34" s="279" t="s">
        <v>54</v>
      </c>
      <c r="D34" s="276" t="s">
        <v>54</v>
      </c>
      <c r="E34" s="276" t="s">
        <v>54</v>
      </c>
      <c r="F34" s="278" t="s">
        <v>54</v>
      </c>
      <c r="G34" s="279">
        <f t="shared" si="18"/>
        <v>0.14835164835164832</v>
      </c>
      <c r="H34" s="279">
        <f t="shared" si="18"/>
        <v>0.10025062656641605</v>
      </c>
      <c r="I34" s="279">
        <f t="shared" si="18"/>
        <v>0.21409921671018287</v>
      </c>
      <c r="J34" s="279">
        <f t="shared" si="18"/>
        <v>0.19626168224299079</v>
      </c>
      <c r="K34" s="280">
        <f t="shared" si="18"/>
        <v>0.16518424396442188</v>
      </c>
      <c r="L34" s="280">
        <f t="shared" si="18"/>
        <v>0.10047846889952161</v>
      </c>
    </row>
    <row r="35" spans="1:12" x14ac:dyDescent="0.25">
      <c r="A35" s="277" t="s">
        <v>100</v>
      </c>
      <c r="B35" s="298" t="s">
        <v>54</v>
      </c>
      <c r="C35" s="297" t="s">
        <v>54</v>
      </c>
      <c r="D35" s="297" t="s">
        <v>54</v>
      </c>
      <c r="E35" s="297" t="s">
        <v>54</v>
      </c>
      <c r="F35" s="296" t="s">
        <v>169</v>
      </c>
      <c r="G35" s="279">
        <f t="shared" si="18"/>
        <v>7.9249217935349323E-2</v>
      </c>
      <c r="H35" s="279">
        <f t="shared" si="18"/>
        <v>0.19672701949860724</v>
      </c>
      <c r="I35" s="279">
        <f t="shared" si="18"/>
        <v>0.17011673151750967</v>
      </c>
      <c r="J35" s="279">
        <f t="shared" si="18"/>
        <v>0.25407457021656638</v>
      </c>
      <c r="K35" s="280">
        <f t="shared" si="18"/>
        <v>0.18821850165882284</v>
      </c>
      <c r="L35" s="280">
        <f t="shared" si="18"/>
        <v>0.20309178743961356</v>
      </c>
    </row>
    <row r="36" spans="1:12" x14ac:dyDescent="0.25">
      <c r="A36" s="277" t="s">
        <v>241</v>
      </c>
      <c r="B36" s="280" t="s">
        <v>54</v>
      </c>
      <c r="C36" s="279" t="s">
        <v>54</v>
      </c>
      <c r="D36" s="276" t="s">
        <v>54</v>
      </c>
      <c r="E36" s="276" t="s">
        <v>54</v>
      </c>
      <c r="F36" s="278" t="s">
        <v>54</v>
      </c>
      <c r="G36" s="279">
        <f t="shared" si="18"/>
        <v>0.13778877887788768</v>
      </c>
      <c r="H36" s="432">
        <f t="shared" si="18"/>
        <v>2.1438142027690857E-2</v>
      </c>
      <c r="I36" s="432">
        <f t="shared" si="18"/>
        <v>4.400085855333763E-2</v>
      </c>
      <c r="J36" s="432">
        <f t="shared" si="18"/>
        <v>5.1974350320620914E-2</v>
      </c>
      <c r="K36" s="280">
        <f t="shared" si="18"/>
        <v>5.9361463179849187E-2</v>
      </c>
      <c r="L36" s="280">
        <f t="shared" si="18"/>
        <v>-6.7681895093062605E-2</v>
      </c>
    </row>
    <row r="37" spans="1:12" x14ac:dyDescent="0.25">
      <c r="A37" s="45" t="str">
        <f>+A10</f>
        <v>Commercial Mortgage Origination</v>
      </c>
      <c r="B37" s="272" t="s">
        <v>54</v>
      </c>
      <c r="C37" s="270" t="s">
        <v>54</v>
      </c>
      <c r="D37" s="282" t="s">
        <v>169</v>
      </c>
      <c r="E37" s="282" t="s">
        <v>54</v>
      </c>
      <c r="F37" s="269" t="s">
        <v>54</v>
      </c>
      <c r="G37" s="272">
        <f t="shared" si="18"/>
        <v>0.24709976798143848</v>
      </c>
      <c r="H37" s="270">
        <f t="shared" si="18"/>
        <v>0.13854853911404338</v>
      </c>
      <c r="I37" s="270">
        <f t="shared" si="18"/>
        <v>0.2078395624430264</v>
      </c>
      <c r="J37" s="270">
        <f t="shared" si="18"/>
        <v>0.16276041666666669</v>
      </c>
      <c r="K37" s="272">
        <f t="shared" si="18"/>
        <v>0.18393327480245819</v>
      </c>
      <c r="L37" s="272">
        <f t="shared" si="18"/>
        <v>0.12465116279069773</v>
      </c>
    </row>
    <row r="38" spans="1:12" x14ac:dyDescent="0.25">
      <c r="A38" s="49" t="s">
        <v>168</v>
      </c>
      <c r="B38" s="280" t="s">
        <v>54</v>
      </c>
      <c r="C38" s="279" t="s">
        <v>54</v>
      </c>
      <c r="D38" s="276" t="s">
        <v>54</v>
      </c>
      <c r="E38" s="276" t="s">
        <v>54</v>
      </c>
      <c r="F38" s="273" t="s">
        <v>54</v>
      </c>
      <c r="G38" s="275">
        <f t="shared" si="18"/>
        <v>0.14150798525798541</v>
      </c>
      <c r="H38" s="433">
        <f t="shared" si="18"/>
        <v>0.1345044402670644</v>
      </c>
      <c r="I38" s="433">
        <f t="shared" si="18"/>
        <v>0.12796729114542019</v>
      </c>
      <c r="J38" s="433">
        <f t="shared" si="18"/>
        <v>0.15252976190476189</v>
      </c>
      <c r="K38" s="275">
        <f t="shared" si="18"/>
        <v>0.14010732266136081</v>
      </c>
      <c r="L38" s="275">
        <f t="shared" si="18"/>
        <v>7.7285262662272203E-2</v>
      </c>
    </row>
    <row r="39" spans="1:12" x14ac:dyDescent="0.25">
      <c r="A39" s="277"/>
      <c r="B39" s="295"/>
      <c r="C39" s="294"/>
      <c r="D39" s="288"/>
      <c r="E39" s="288"/>
      <c r="F39" s="295"/>
      <c r="G39" s="60"/>
      <c r="H39" s="431"/>
      <c r="I39" s="431"/>
      <c r="J39" s="431"/>
      <c r="K39" s="60"/>
      <c r="L39" s="60"/>
    </row>
    <row r="40" spans="1:12" ht="30" x14ac:dyDescent="0.25">
      <c r="A40" s="54" t="s">
        <v>173</v>
      </c>
      <c r="B40" s="292"/>
      <c r="C40" s="284"/>
      <c r="D40" s="284"/>
      <c r="E40" s="284"/>
      <c r="F40" s="291"/>
      <c r="G40" s="57"/>
      <c r="H40" s="57"/>
      <c r="I40" s="57"/>
      <c r="J40" s="57"/>
      <c r="K40" s="434"/>
      <c r="L40" s="434"/>
    </row>
    <row r="41" spans="1:12" x14ac:dyDescent="0.25">
      <c r="A41" s="49" t="s">
        <v>168</v>
      </c>
      <c r="B41" s="275" t="s">
        <v>54</v>
      </c>
      <c r="C41" s="274" t="s">
        <v>54</v>
      </c>
      <c r="D41" s="281" t="s">
        <v>54</v>
      </c>
      <c r="E41" s="274" t="s">
        <v>54</v>
      </c>
      <c r="F41" s="273" t="s">
        <v>54</v>
      </c>
      <c r="G41" s="274">
        <f t="shared" ref="G41:L41" si="19">+(G16-B16)/B16</f>
        <v>0.21910538286580747</v>
      </c>
      <c r="H41" s="274">
        <f t="shared" si="19"/>
        <v>0.21804922515952602</v>
      </c>
      <c r="I41" s="274">
        <f t="shared" si="19"/>
        <v>0.12452700378396969</v>
      </c>
      <c r="J41" s="274">
        <f t="shared" si="19"/>
        <v>0.17237200848227802</v>
      </c>
      <c r="K41" s="275">
        <f t="shared" si="19"/>
        <v>0.18181818181818207</v>
      </c>
      <c r="L41" s="275">
        <f t="shared" si="19"/>
        <v>7.5715174129353122E-2</v>
      </c>
    </row>
    <row r="42" spans="1:12" x14ac:dyDescent="0.25">
      <c r="A42" s="277"/>
      <c r="B42" s="290"/>
      <c r="C42" s="289"/>
      <c r="D42" s="288"/>
      <c r="E42" s="288"/>
      <c r="F42" s="287"/>
      <c r="H42" s="413"/>
      <c r="I42" s="413"/>
      <c r="J42" s="413"/>
      <c r="K42" s="60"/>
      <c r="L42" s="60"/>
    </row>
    <row r="43" spans="1:12" ht="30.6" customHeight="1" x14ac:dyDescent="0.25">
      <c r="A43" s="54" t="s">
        <v>174</v>
      </c>
      <c r="B43" s="286"/>
      <c r="C43" s="285"/>
      <c r="D43" s="284"/>
      <c r="E43" s="284"/>
      <c r="F43" s="283"/>
      <c r="G43" s="57"/>
      <c r="H43" s="57"/>
      <c r="I43" s="57"/>
      <c r="J43" s="57"/>
      <c r="K43" s="434"/>
      <c r="L43" s="434"/>
    </row>
    <row r="44" spans="1:12" x14ac:dyDescent="0.25">
      <c r="A44" s="277" t="s">
        <v>103</v>
      </c>
      <c r="B44" s="280" t="s">
        <v>54</v>
      </c>
      <c r="C44" s="279" t="s">
        <v>54</v>
      </c>
      <c r="D44" s="279" t="s">
        <v>54</v>
      </c>
      <c r="E44" s="279" t="s">
        <v>54</v>
      </c>
      <c r="F44" s="278" t="s">
        <v>54</v>
      </c>
      <c r="G44" s="279">
        <f t="shared" ref="G44:L44" si="20">+(G21-B21)/B21</f>
        <v>0.64084507042253536</v>
      </c>
      <c r="H44" s="279">
        <f t="shared" si="20"/>
        <v>8.2352941176470504E-2</v>
      </c>
      <c r="I44" s="279">
        <f t="shared" si="20"/>
        <v>0.60248447204968936</v>
      </c>
      <c r="J44" s="279">
        <f t="shared" si="20"/>
        <v>1.8633540372670631E-2</v>
      </c>
      <c r="K44" s="280">
        <f t="shared" si="20"/>
        <v>0.26163522012578611</v>
      </c>
      <c r="L44" s="280">
        <f t="shared" si="20"/>
        <v>0.24034334763948487</v>
      </c>
    </row>
    <row r="45" spans="1:12" x14ac:dyDescent="0.25">
      <c r="A45" s="277" t="s">
        <v>167</v>
      </c>
      <c r="B45" s="280" t="s">
        <v>54</v>
      </c>
      <c r="C45" s="279" t="s">
        <v>54</v>
      </c>
      <c r="D45" s="279" t="s">
        <v>54</v>
      </c>
      <c r="E45" s="279" t="s">
        <v>54</v>
      </c>
      <c r="F45" s="278" t="s">
        <v>54</v>
      </c>
      <c r="G45" s="279">
        <f t="shared" ref="G45:L52" si="21">+(G22-B22)/B22</f>
        <v>0.19973368841544609</v>
      </c>
      <c r="H45" s="279">
        <f t="shared" si="21"/>
        <v>0.1743243243243244</v>
      </c>
      <c r="I45" s="279">
        <f t="shared" si="21"/>
        <v>7.2582649763857865E-2</v>
      </c>
      <c r="J45" s="279">
        <f t="shared" si="21"/>
        <v>3.6640873918980417E-2</v>
      </c>
      <c r="K45" s="280">
        <f t="shared" si="21"/>
        <v>0.11643145161290316</v>
      </c>
      <c r="L45" s="280">
        <f t="shared" si="21"/>
        <v>-1.997780244173138E-2</v>
      </c>
    </row>
    <row r="46" spans="1:12" x14ac:dyDescent="0.25">
      <c r="A46" s="277" t="s">
        <v>166</v>
      </c>
      <c r="B46" s="280" t="s">
        <v>169</v>
      </c>
      <c r="C46" s="279" t="s">
        <v>54</v>
      </c>
      <c r="D46" s="279" t="s">
        <v>169</v>
      </c>
      <c r="E46" s="279" t="s">
        <v>54</v>
      </c>
      <c r="F46" s="278" t="s">
        <v>54</v>
      </c>
      <c r="G46" s="279">
        <f t="shared" si="21"/>
        <v>-0.22321428571428573</v>
      </c>
      <c r="H46" s="279">
        <f t="shared" si="21"/>
        <v>4.3859649122807015E-2</v>
      </c>
      <c r="I46" s="279">
        <f t="shared" si="21"/>
        <v>-0.29347826086956519</v>
      </c>
      <c r="J46" s="279">
        <f t="shared" si="21"/>
        <v>0.35053110773899859</v>
      </c>
      <c r="K46" s="280">
        <f t="shared" si="21"/>
        <v>-1.7785682525566539E-3</v>
      </c>
      <c r="L46" s="280">
        <f t="shared" si="21"/>
        <v>-3.4482758620689537E-2</v>
      </c>
    </row>
    <row r="47" spans="1:12" x14ac:dyDescent="0.25">
      <c r="A47" s="45" t="s">
        <v>165</v>
      </c>
      <c r="B47" s="272" t="s">
        <v>54</v>
      </c>
      <c r="C47" s="270" t="s">
        <v>169</v>
      </c>
      <c r="D47" s="270" t="s">
        <v>54</v>
      </c>
      <c r="E47" s="270" t="s">
        <v>54</v>
      </c>
      <c r="F47" s="269" t="s">
        <v>54</v>
      </c>
      <c r="G47" s="272">
        <f t="shared" si="21"/>
        <v>6.545454545454545</v>
      </c>
      <c r="H47" s="270">
        <f t="shared" si="21"/>
        <v>-0.98630136986301375</v>
      </c>
      <c r="I47" s="270">
        <f t="shared" si="21"/>
        <v>-0.87903225806451624</v>
      </c>
      <c r="J47" s="270">
        <f t="shared" si="21"/>
        <v>3.666666666666667</v>
      </c>
      <c r="K47" s="272">
        <f t="shared" si="21"/>
        <v>1.3122529644268777</v>
      </c>
      <c r="L47" s="272">
        <f t="shared" si="21"/>
        <v>-0.61445783132530118</v>
      </c>
    </row>
    <row r="48" spans="1:12" x14ac:dyDescent="0.25">
      <c r="A48" s="49" t="s">
        <v>142</v>
      </c>
      <c r="B48" s="280" t="s">
        <v>54</v>
      </c>
      <c r="C48" s="279" t="s">
        <v>54</v>
      </c>
      <c r="D48" s="279" t="s">
        <v>54</v>
      </c>
      <c r="E48" s="279" t="s">
        <v>54</v>
      </c>
      <c r="F48" s="278" t="s">
        <v>54</v>
      </c>
      <c r="G48" s="274">
        <f t="shared" si="21"/>
        <v>0.41618497109826591</v>
      </c>
      <c r="H48" s="274">
        <f t="shared" si="21"/>
        <v>6.9279854147675554E-2</v>
      </c>
      <c r="I48" s="274">
        <f t="shared" si="21"/>
        <v>9.8484848484848314E-2</v>
      </c>
      <c r="J48" s="274">
        <f t="shared" si="21"/>
        <v>0.11923758865248239</v>
      </c>
      <c r="K48" s="275">
        <f t="shared" si="21"/>
        <v>0.16976591555458329</v>
      </c>
      <c r="L48" s="275">
        <f t="shared" si="21"/>
        <v>-8.0272108843537499E-2</v>
      </c>
    </row>
    <row r="49" spans="1:12" s="413" customFormat="1" ht="28.5" x14ac:dyDescent="0.25">
      <c r="A49" s="277" t="s">
        <v>226</v>
      </c>
      <c r="B49" s="280"/>
      <c r="C49" s="279"/>
      <c r="D49" s="279"/>
      <c r="E49" s="279"/>
      <c r="F49" s="278"/>
      <c r="G49" s="279">
        <f t="shared" si="21"/>
        <v>2.6428571428571428</v>
      </c>
      <c r="H49" s="279">
        <f t="shared" si="21"/>
        <v>0.2618025751072961</v>
      </c>
      <c r="I49" s="279">
        <f t="shared" si="21"/>
        <v>0.92656249999999996</v>
      </c>
      <c r="J49" s="279">
        <f t="shared" si="21"/>
        <v>0.33842794759825329</v>
      </c>
      <c r="K49" s="280">
        <f t="shared" si="21"/>
        <v>0.62796833773087068</v>
      </c>
      <c r="L49" s="280">
        <f t="shared" si="21"/>
        <v>1.0392156862745097</v>
      </c>
    </row>
    <row r="50" spans="1:12" s="413" customFormat="1" x14ac:dyDescent="0.25">
      <c r="A50" s="277" t="s">
        <v>227</v>
      </c>
      <c r="B50" s="280"/>
      <c r="C50" s="279"/>
      <c r="D50" s="279"/>
      <c r="E50" s="279"/>
      <c r="F50" s="278"/>
      <c r="G50" s="279">
        <f t="shared" si="21"/>
        <v>-1</v>
      </c>
      <c r="H50" s="279">
        <f t="shared" si="21"/>
        <v>8.8495575221238937E-2</v>
      </c>
      <c r="I50" s="279">
        <f t="shared" si="21"/>
        <v>-0.95161290322580649</v>
      </c>
      <c r="J50" s="279">
        <f t="shared" si="21"/>
        <v>1.2999999999999998</v>
      </c>
      <c r="K50" s="280">
        <f t="shared" si="21"/>
        <v>-0.25125628140703515</v>
      </c>
      <c r="L50" s="280" t="s">
        <v>237</v>
      </c>
    </row>
    <row r="51" spans="1:12" s="413" customFormat="1" x14ac:dyDescent="0.25">
      <c r="A51" s="45" t="s">
        <v>228</v>
      </c>
      <c r="B51" s="272"/>
      <c r="C51" s="270"/>
      <c r="D51" s="270"/>
      <c r="E51" s="270"/>
      <c r="F51" s="269"/>
      <c r="G51" s="272">
        <f t="shared" si="21"/>
        <v>-0.9375</v>
      </c>
      <c r="H51" s="270">
        <f t="shared" si="21"/>
        <v>-0.11764705882352938</v>
      </c>
      <c r="I51" s="270">
        <f t="shared" si="21"/>
        <v>0.19999999999999996</v>
      </c>
      <c r="J51" s="270">
        <f t="shared" si="21"/>
        <v>-1.1428571428571428</v>
      </c>
      <c r="K51" s="272">
        <f t="shared" si="21"/>
        <v>-0.609375</v>
      </c>
      <c r="L51" s="272" t="s">
        <v>237</v>
      </c>
    </row>
    <row r="52" spans="1:12" s="413" customFormat="1" x14ac:dyDescent="0.25">
      <c r="A52" s="49" t="s">
        <v>225</v>
      </c>
      <c r="B52" s="280"/>
      <c r="C52" s="279"/>
      <c r="D52" s="279"/>
      <c r="E52" s="279"/>
      <c r="F52" s="278"/>
      <c r="G52" s="279">
        <f t="shared" si="21"/>
        <v>0.61022927689594342</v>
      </c>
      <c r="H52" s="279">
        <f t="shared" si="21"/>
        <v>0.14323467230443954</v>
      </c>
      <c r="I52" s="279">
        <f t="shared" si="21"/>
        <v>0.35989630297565384</v>
      </c>
      <c r="J52" s="279">
        <f t="shared" si="21"/>
        <v>0.19626791069643487</v>
      </c>
      <c r="K52" s="280">
        <f t="shared" si="21"/>
        <v>0.29616724738675959</v>
      </c>
      <c r="L52" s="280">
        <f t="shared" si="21"/>
        <v>0.20755750273822568</v>
      </c>
    </row>
    <row r="53" spans="1:12" s="413" customFormat="1" x14ac:dyDescent="0.25">
      <c r="A53" s="49"/>
      <c r="B53" s="280"/>
      <c r="C53" s="279"/>
      <c r="D53" s="279"/>
      <c r="E53" s="279"/>
      <c r="F53" s="278"/>
      <c r="G53" s="279"/>
      <c r="H53" s="279"/>
      <c r="I53" s="279"/>
      <c r="J53" s="279"/>
      <c r="K53" s="278"/>
      <c r="L53" s="279"/>
    </row>
    <row r="54" spans="1:12" s="413" customFormat="1" x14ac:dyDescent="0.25">
      <c r="A54" s="49"/>
      <c r="B54" s="280"/>
      <c r="C54" s="279"/>
      <c r="D54" s="279"/>
      <c r="E54" s="279"/>
      <c r="F54" s="278"/>
      <c r="G54" s="279"/>
      <c r="H54" s="279"/>
      <c r="I54" s="279"/>
      <c r="J54" s="279"/>
      <c r="K54" s="278"/>
      <c r="L54" s="279"/>
    </row>
    <row r="55" spans="1:12" x14ac:dyDescent="0.25">
      <c r="A55" s="277"/>
      <c r="B55" s="280"/>
      <c r="C55" s="279"/>
      <c r="D55" s="279"/>
      <c r="E55" s="279"/>
      <c r="F55" s="278"/>
      <c r="G55" s="279"/>
      <c r="H55" s="279"/>
      <c r="I55" s="279"/>
      <c r="J55" s="279"/>
      <c r="K55" s="278"/>
      <c r="L55" s="279"/>
    </row>
    <row r="56" spans="1:12" ht="30" x14ac:dyDescent="0.25">
      <c r="A56" s="54" t="s">
        <v>208</v>
      </c>
      <c r="B56" s="303"/>
      <c r="C56" s="302"/>
      <c r="D56" s="301"/>
      <c r="E56" s="301"/>
      <c r="F56" s="300"/>
      <c r="G56" s="57"/>
      <c r="H56" s="57"/>
      <c r="I56" s="57"/>
      <c r="J56" s="57"/>
      <c r="K56" s="200"/>
      <c r="L56" s="57"/>
    </row>
    <row r="57" spans="1:12" x14ac:dyDescent="0.25">
      <c r="A57" s="277" t="str">
        <f>+A32</f>
        <v>Property &amp; Advisory Project Management</v>
      </c>
      <c r="B57" s="280" t="s">
        <v>54</v>
      </c>
      <c r="C57" s="279" t="s">
        <v>169</v>
      </c>
      <c r="D57" s="299" t="s">
        <v>54</v>
      </c>
      <c r="E57" s="299" t="s">
        <v>54</v>
      </c>
      <c r="F57" s="278" t="s">
        <v>54</v>
      </c>
      <c r="G57" s="279">
        <v>0.20799999999999999</v>
      </c>
      <c r="H57" s="279">
        <v>0.189</v>
      </c>
      <c r="I57" s="279">
        <v>0.16700000000000001</v>
      </c>
      <c r="J57" s="279">
        <v>0.11899999999999999</v>
      </c>
      <c r="K57" s="278">
        <v>0.16600000000000001</v>
      </c>
      <c r="L57" s="279">
        <v>9.6000000000000002E-2</v>
      </c>
    </row>
    <row r="58" spans="1:12" x14ac:dyDescent="0.25">
      <c r="A58" s="277" t="s">
        <v>11</v>
      </c>
      <c r="B58" s="280" t="s">
        <v>54</v>
      </c>
      <c r="C58" s="279" t="s">
        <v>54</v>
      </c>
      <c r="D58" s="276" t="s">
        <v>54</v>
      </c>
      <c r="E58" s="276" t="s">
        <v>54</v>
      </c>
      <c r="F58" s="278" t="s">
        <v>54</v>
      </c>
      <c r="G58" s="279">
        <v>4.2000000000000003E-2</v>
      </c>
      <c r="H58" s="279">
        <v>5.7000000000000002E-2</v>
      </c>
      <c r="I58" s="279">
        <v>9.6000000000000002E-2</v>
      </c>
      <c r="J58" s="279">
        <v>8.5000000000000006E-2</v>
      </c>
      <c r="K58" s="278">
        <v>7.1999999999999995E-2</v>
      </c>
      <c r="L58" s="279">
        <v>7.0999999999999994E-2</v>
      </c>
    </row>
    <row r="59" spans="1:12" x14ac:dyDescent="0.25">
      <c r="A59" s="277" t="s">
        <v>52</v>
      </c>
      <c r="B59" s="280" t="s">
        <v>54</v>
      </c>
      <c r="C59" s="279" t="s">
        <v>54</v>
      </c>
      <c r="D59" s="276" t="s">
        <v>54</v>
      </c>
      <c r="E59" s="276" t="s">
        <v>54</v>
      </c>
      <c r="F59" s="278" t="s">
        <v>54</v>
      </c>
      <c r="G59" s="279">
        <v>0.14199999999999999</v>
      </c>
      <c r="H59" s="279">
        <v>9.7000000000000003E-2</v>
      </c>
      <c r="I59" s="279">
        <v>0.21199999999999999</v>
      </c>
      <c r="J59" s="279">
        <v>0.2</v>
      </c>
      <c r="K59" s="278">
        <v>0.16300000000000001</v>
      </c>
      <c r="L59" s="279">
        <v>0.105</v>
      </c>
    </row>
    <row r="60" spans="1:12" x14ac:dyDescent="0.25">
      <c r="A60" s="277" t="s">
        <v>100</v>
      </c>
      <c r="B60" s="298" t="s">
        <v>54</v>
      </c>
      <c r="C60" s="297" t="s">
        <v>54</v>
      </c>
      <c r="D60" s="297" t="s">
        <v>54</v>
      </c>
      <c r="E60" s="297" t="s">
        <v>54</v>
      </c>
      <c r="F60" s="296" t="s">
        <v>54</v>
      </c>
      <c r="G60" s="279">
        <v>5.1999999999999998E-2</v>
      </c>
      <c r="H60" s="297">
        <v>0.18</v>
      </c>
      <c r="I60" s="297">
        <v>0.17899999999999999</v>
      </c>
      <c r="J60" s="297">
        <v>0.27100000000000002</v>
      </c>
      <c r="K60" s="296">
        <v>0.188</v>
      </c>
      <c r="L60" s="279">
        <v>0.22500000000000001</v>
      </c>
    </row>
    <row r="61" spans="1:12" x14ac:dyDescent="0.25">
      <c r="A61" s="277" t="s">
        <v>241</v>
      </c>
      <c r="B61" s="280" t="s">
        <v>54</v>
      </c>
      <c r="C61" s="279" t="s">
        <v>54</v>
      </c>
      <c r="D61" s="276" t="s">
        <v>54</v>
      </c>
      <c r="E61" s="276" t="s">
        <v>54</v>
      </c>
      <c r="F61" s="278" t="s">
        <v>54</v>
      </c>
      <c r="G61" s="279">
        <v>0.1</v>
      </c>
      <c r="H61" s="279">
        <v>0</v>
      </c>
      <c r="I61" s="279">
        <v>5.6000000000000001E-2</v>
      </c>
      <c r="J61" s="279">
        <v>7.6999999999999999E-2</v>
      </c>
      <c r="K61" s="278">
        <v>5.8000000000000003E-2</v>
      </c>
      <c r="L61" s="279">
        <v>-4.7E-2</v>
      </c>
    </row>
    <row r="62" spans="1:12" x14ac:dyDescent="0.25">
      <c r="A62" s="45" t="s">
        <v>239</v>
      </c>
      <c r="B62" s="272" t="s">
        <v>54</v>
      </c>
      <c r="C62" s="270" t="s">
        <v>54</v>
      </c>
      <c r="D62" s="282" t="s">
        <v>169</v>
      </c>
      <c r="E62" s="282" t="s">
        <v>54</v>
      </c>
      <c r="F62" s="269" t="s">
        <v>54</v>
      </c>
      <c r="G62" s="270">
        <v>0.24399999999999999</v>
      </c>
      <c r="H62" s="270">
        <v>0.13800000000000001</v>
      </c>
      <c r="I62" s="270">
        <v>0.20899999999999999</v>
      </c>
      <c r="J62" s="270">
        <v>0.16400000000000001</v>
      </c>
      <c r="K62" s="269">
        <v>0.184</v>
      </c>
      <c r="L62" s="270">
        <v>0.127</v>
      </c>
    </row>
    <row r="63" spans="1:12" x14ac:dyDescent="0.25">
      <c r="A63" s="49" t="s">
        <v>168</v>
      </c>
      <c r="B63" s="280" t="s">
        <v>54</v>
      </c>
      <c r="C63" s="279" t="s">
        <v>54</v>
      </c>
      <c r="D63" s="276" t="s">
        <v>54</v>
      </c>
      <c r="E63" s="276" t="s">
        <v>54</v>
      </c>
      <c r="F63" s="273" t="s">
        <v>54</v>
      </c>
      <c r="G63" s="274">
        <v>0.105</v>
      </c>
      <c r="H63" s="274">
        <v>0.113</v>
      </c>
      <c r="I63" s="274">
        <v>0.13800000000000001</v>
      </c>
      <c r="J63" s="274">
        <v>0.17299999999999999</v>
      </c>
      <c r="K63" s="273">
        <v>0.13700000000000001</v>
      </c>
      <c r="L63" s="274">
        <v>0.10100000000000001</v>
      </c>
    </row>
    <row r="64" spans="1:12" x14ac:dyDescent="0.25">
      <c r="A64" s="277"/>
      <c r="B64" s="295"/>
      <c r="C64" s="294"/>
      <c r="D64" s="288"/>
      <c r="E64" s="288"/>
      <c r="F64" s="293"/>
      <c r="G64" s="413"/>
      <c r="H64" s="413"/>
      <c r="I64" s="413"/>
      <c r="J64" s="413"/>
      <c r="K64" s="4"/>
      <c r="L64" s="413"/>
    </row>
    <row r="65" spans="1:12" ht="30" x14ac:dyDescent="0.25">
      <c r="A65" s="54" t="s">
        <v>171</v>
      </c>
      <c r="B65" s="292"/>
      <c r="C65" s="284"/>
      <c r="D65" s="284"/>
      <c r="E65" s="284"/>
      <c r="F65" s="291"/>
      <c r="G65" s="57"/>
      <c r="H65" s="57"/>
      <c r="I65" s="57"/>
      <c r="J65" s="57"/>
      <c r="K65" s="200"/>
      <c r="L65" s="57"/>
    </row>
    <row r="66" spans="1:12" x14ac:dyDescent="0.25">
      <c r="A66" s="49" t="s">
        <v>168</v>
      </c>
      <c r="B66" s="275" t="s">
        <v>54</v>
      </c>
      <c r="C66" s="274" t="s">
        <v>54</v>
      </c>
      <c r="D66" s="281" t="s">
        <v>54</v>
      </c>
      <c r="E66" s="274" t="s">
        <v>54</v>
      </c>
      <c r="F66" s="273" t="s">
        <v>54</v>
      </c>
      <c r="G66" s="274">
        <v>0.15</v>
      </c>
      <c r="H66" s="274">
        <v>0.17299999999999999</v>
      </c>
      <c r="I66" s="274">
        <v>0.13300000000000001</v>
      </c>
      <c r="J66" s="274">
        <v>0.20300000000000001</v>
      </c>
      <c r="K66" s="273">
        <v>0.16600000000000001</v>
      </c>
      <c r="L66" s="274">
        <v>0.11700000000000001</v>
      </c>
    </row>
    <row r="67" spans="1:12" x14ac:dyDescent="0.25">
      <c r="A67" s="277"/>
      <c r="B67" s="290"/>
      <c r="C67" s="289"/>
      <c r="D67" s="288"/>
      <c r="E67" s="288"/>
      <c r="F67" s="287"/>
      <c r="G67" s="413"/>
      <c r="H67" s="413"/>
      <c r="I67" s="413"/>
      <c r="J67" s="413"/>
      <c r="K67" s="4"/>
      <c r="L67" s="413"/>
    </row>
    <row r="68" spans="1:12" ht="30" x14ac:dyDescent="0.25">
      <c r="A68" s="54" t="s">
        <v>172</v>
      </c>
      <c r="B68" s="286"/>
      <c r="C68" s="285"/>
      <c r="D68" s="284"/>
      <c r="E68" s="284"/>
      <c r="F68" s="283"/>
      <c r="G68" s="57"/>
      <c r="H68" s="57"/>
      <c r="I68" s="57"/>
      <c r="J68" s="57"/>
      <c r="K68" s="200"/>
      <c r="L68" s="57"/>
    </row>
    <row r="69" spans="1:12" x14ac:dyDescent="0.25">
      <c r="A69" s="277" t="s">
        <v>103</v>
      </c>
      <c r="B69" s="280" t="s">
        <v>54</v>
      </c>
      <c r="C69" s="279" t="s">
        <v>54</v>
      </c>
      <c r="D69" s="279" t="s">
        <v>54</v>
      </c>
      <c r="E69" s="279" t="s">
        <v>54</v>
      </c>
      <c r="F69" s="278" t="s">
        <v>54</v>
      </c>
      <c r="G69" s="279">
        <f t="shared" ref="G69:L69" si="22">+G44</f>
        <v>0.64084507042253536</v>
      </c>
      <c r="H69" s="279">
        <f t="shared" si="22"/>
        <v>8.2352941176470504E-2</v>
      </c>
      <c r="I69" s="279">
        <f t="shared" si="22"/>
        <v>0.60248447204968936</v>
      </c>
      <c r="J69" s="279">
        <f t="shared" si="22"/>
        <v>1.8633540372670631E-2</v>
      </c>
      <c r="K69" s="278">
        <f t="shared" si="22"/>
        <v>0.26163522012578611</v>
      </c>
      <c r="L69" s="279">
        <f t="shared" si="22"/>
        <v>0.24034334763948487</v>
      </c>
    </row>
    <row r="70" spans="1:12" x14ac:dyDescent="0.25">
      <c r="A70" s="277" t="s">
        <v>167</v>
      </c>
      <c r="B70" s="280" t="s">
        <v>54</v>
      </c>
      <c r="C70" s="279" t="s">
        <v>54</v>
      </c>
      <c r="D70" s="279" t="s">
        <v>54</v>
      </c>
      <c r="E70" s="279" t="s">
        <v>54</v>
      </c>
      <c r="F70" s="278" t="s">
        <v>54</v>
      </c>
      <c r="G70" s="279">
        <v>0.113</v>
      </c>
      <c r="H70" s="279">
        <v>0.115</v>
      </c>
      <c r="I70" s="279">
        <v>7.5999999999999998E-2</v>
      </c>
      <c r="J70" s="279">
        <v>6.4000000000000001E-2</v>
      </c>
      <c r="K70" s="278">
        <v>0.09</v>
      </c>
      <c r="L70" s="279">
        <v>2.5000000000000001E-2</v>
      </c>
    </row>
    <row r="71" spans="1:12" x14ac:dyDescent="0.25">
      <c r="A71" s="277" t="s">
        <v>166</v>
      </c>
      <c r="B71" s="280" t="s">
        <v>169</v>
      </c>
      <c r="C71" s="279" t="s">
        <v>54</v>
      </c>
      <c r="D71" s="279" t="s">
        <v>169</v>
      </c>
      <c r="E71" s="279" t="s">
        <v>54</v>
      </c>
      <c r="F71" s="278" t="s">
        <v>54</v>
      </c>
      <c r="G71" s="279">
        <v>-0.29099999999999998</v>
      </c>
      <c r="H71" s="279">
        <v>1.2999999999999999E-2</v>
      </c>
      <c r="I71" s="279">
        <v>-0.29399999999999998</v>
      </c>
      <c r="J71" s="279">
        <v>0.373</v>
      </c>
      <c r="K71" s="278">
        <v>-2.1000000000000001E-2</v>
      </c>
      <c r="L71" s="279">
        <v>1E-3</v>
      </c>
    </row>
    <row r="72" spans="1:12" x14ac:dyDescent="0.25">
      <c r="A72" s="45" t="s">
        <v>165</v>
      </c>
      <c r="B72" s="272" t="s">
        <v>54</v>
      </c>
      <c r="C72" s="270" t="s">
        <v>169</v>
      </c>
      <c r="D72" s="270" t="s">
        <v>54</v>
      </c>
      <c r="E72" s="270" t="s">
        <v>54</v>
      </c>
      <c r="F72" s="269" t="s">
        <v>54</v>
      </c>
      <c r="G72" s="270">
        <v>6.4420000000000002</v>
      </c>
      <c r="H72" s="270">
        <v>-0.98599999999999999</v>
      </c>
      <c r="I72" s="270">
        <v>-0.876</v>
      </c>
      <c r="J72" s="270">
        <v>3.589</v>
      </c>
      <c r="K72" s="269">
        <v>1.3029999999999999</v>
      </c>
      <c r="L72" s="270">
        <v>-0.61099999999999999</v>
      </c>
    </row>
    <row r="73" spans="1:12" x14ac:dyDescent="0.25">
      <c r="A73" s="49" t="s">
        <v>142</v>
      </c>
      <c r="B73" s="280" t="s">
        <v>54</v>
      </c>
      <c r="C73" s="279" t="s">
        <v>54</v>
      </c>
      <c r="D73" s="279" t="s">
        <v>54</v>
      </c>
      <c r="E73" s="279" t="s">
        <v>54</v>
      </c>
      <c r="F73" s="457" t="s">
        <v>54</v>
      </c>
      <c r="G73" s="279">
        <v>0.34499999999999997</v>
      </c>
      <c r="H73" s="279">
        <v>2.7E-2</v>
      </c>
      <c r="I73" s="279">
        <v>0.1</v>
      </c>
      <c r="J73" s="279">
        <v>0.13900000000000001</v>
      </c>
      <c r="K73" s="457">
        <v>0.15</v>
      </c>
      <c r="L73" s="279">
        <v>-5.1999999999999998E-2</v>
      </c>
    </row>
    <row r="74" spans="1:12" ht="28.5" x14ac:dyDescent="0.25">
      <c r="A74" s="277" t="s">
        <v>226</v>
      </c>
      <c r="F74" s="4"/>
      <c r="G74" s="350">
        <v>2.6419999999999999</v>
      </c>
      <c r="H74" s="350">
        <v>0.26200000000000001</v>
      </c>
      <c r="I74" s="350">
        <v>0.92500000000000004</v>
      </c>
      <c r="J74" s="350">
        <v>0.33800000000000002</v>
      </c>
      <c r="K74" s="463">
        <v>0.628</v>
      </c>
      <c r="L74" s="350">
        <v>1.0369999999999999</v>
      </c>
    </row>
    <row r="75" spans="1:12" x14ac:dyDescent="0.25">
      <c r="A75" s="277" t="s">
        <v>227</v>
      </c>
      <c r="F75" s="4"/>
      <c r="G75" s="350">
        <v>-0.98699999999999999</v>
      </c>
      <c r="H75" s="350">
        <v>0.09</v>
      </c>
      <c r="I75" s="350">
        <v>-0.96199999999999997</v>
      </c>
      <c r="J75" s="350">
        <v>1.393</v>
      </c>
      <c r="K75" s="463">
        <v>-0.25</v>
      </c>
      <c r="L75" s="464" t="s">
        <v>237</v>
      </c>
    </row>
    <row r="76" spans="1:12" x14ac:dyDescent="0.25">
      <c r="A76" s="45" t="s">
        <v>228</v>
      </c>
      <c r="B76" s="455"/>
      <c r="C76" s="456"/>
      <c r="D76" s="456"/>
      <c r="E76" s="11"/>
      <c r="F76" s="12"/>
      <c r="G76" s="465">
        <v>-0.93400000000000005</v>
      </c>
      <c r="H76" s="465">
        <v>-0.123</v>
      </c>
      <c r="I76" s="465">
        <v>0.21099999999999999</v>
      </c>
      <c r="J76" s="465">
        <v>-1.149</v>
      </c>
      <c r="K76" s="466">
        <v>-0.60799999999999998</v>
      </c>
      <c r="L76" s="467" t="s">
        <v>237</v>
      </c>
    </row>
    <row r="77" spans="1:12" x14ac:dyDescent="0.25">
      <c r="A77" s="49" t="s">
        <v>225</v>
      </c>
      <c r="F77" s="4"/>
      <c r="G77" s="350">
        <v>0.54600000000000004</v>
      </c>
      <c r="H77" s="350">
        <v>0.11799999999999999</v>
      </c>
      <c r="I77" s="350">
        <v>0.36</v>
      </c>
      <c r="J77" s="350">
        <v>0.21199999999999999</v>
      </c>
      <c r="K77" s="463">
        <v>0.28199999999999997</v>
      </c>
      <c r="L77" s="350">
        <v>0.23</v>
      </c>
    </row>
  </sheetData>
  <pageMargins left="0.45" right="0.45" top="0.5" bottom="0.4" header="0.3" footer="0.25"/>
  <pageSetup scale="73" fitToHeight="3" orientation="landscape" horizontalDpi="4294967293" verticalDpi="4294967293" r:id="rId1"/>
  <ignoredErrors>
    <ignoredError sqref="F25 F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7F0F4-2318-4119-BA85-406D84EB8DA1}">
  <dimension ref="A1:L108"/>
  <sheetViews>
    <sheetView zoomScaleNormal="100" zoomScaleSheetLayoutView="100" workbookViewId="0">
      <pane xSplit="1" ySplit="3" topLeftCell="B4" activePane="bottomRight" state="frozen"/>
      <selection activeCell="B55" sqref="B55"/>
      <selection pane="topRight" activeCell="B55" sqref="B55"/>
      <selection pane="bottomLeft" activeCell="B55" sqref="B55"/>
      <selection pane="bottomRight" activeCell="F68" sqref="F68"/>
    </sheetView>
  </sheetViews>
  <sheetFormatPr defaultColWidth="9.140625" defaultRowHeight="15" outlineLevelCol="1" x14ac:dyDescent="0.25"/>
  <cols>
    <col min="1" max="1" width="58.140625" style="1" customWidth="1"/>
    <col min="2" max="2" width="10.5703125" style="60" customWidth="1" outlineLevel="1"/>
    <col min="3" max="4" width="9.28515625" style="3" customWidth="1" outlineLevel="1"/>
    <col min="5" max="5" width="9.140625" style="3" customWidth="1" outlineLevel="1"/>
    <col min="6" max="6" width="10.28515625" style="3" customWidth="1"/>
    <col min="7" max="10" width="9.140625" style="3" outlineLevel="1"/>
    <col min="11" max="11" width="10.42578125" style="3" bestFit="1" customWidth="1"/>
    <col min="12" max="16384" width="9.140625" style="3"/>
  </cols>
  <sheetData>
    <row r="1" spans="1:12" x14ac:dyDescent="0.25">
      <c r="A1" s="41" t="s">
        <v>146</v>
      </c>
      <c r="B1" s="3"/>
    </row>
    <row r="2" spans="1:12" x14ac:dyDescent="0.25">
      <c r="A2" s="78" t="s">
        <v>61</v>
      </c>
      <c r="B2" s="161" t="s">
        <v>54</v>
      </c>
      <c r="C2" s="161" t="s">
        <v>54</v>
      </c>
      <c r="D2" s="161" t="s">
        <v>54</v>
      </c>
      <c r="E2" s="161" t="s">
        <v>54</v>
      </c>
      <c r="F2" s="161" t="s">
        <v>54</v>
      </c>
    </row>
    <row r="3" spans="1:12" s="8" customFormat="1" x14ac:dyDescent="0.25">
      <c r="A3" s="222"/>
      <c r="B3" s="46" t="s">
        <v>0</v>
      </c>
      <c r="C3" s="47" t="s">
        <v>1</v>
      </c>
      <c r="D3" s="47" t="s">
        <v>45</v>
      </c>
      <c r="E3" s="47" t="s">
        <v>46</v>
      </c>
      <c r="F3" s="178">
        <v>2017</v>
      </c>
      <c r="G3" s="47" t="s">
        <v>47</v>
      </c>
      <c r="H3" s="47" t="s">
        <v>44</v>
      </c>
      <c r="I3" s="47" t="s">
        <v>57</v>
      </c>
      <c r="J3" s="47" t="s">
        <v>58</v>
      </c>
      <c r="K3" s="178">
        <v>2018</v>
      </c>
      <c r="L3" s="47" t="s">
        <v>105</v>
      </c>
    </row>
    <row r="4" spans="1:12" s="8" customFormat="1" x14ac:dyDescent="0.25">
      <c r="A4" s="82" t="s">
        <v>145</v>
      </c>
      <c r="B4" s="221"/>
      <c r="C4" s="220"/>
      <c r="D4" s="219"/>
      <c r="E4" s="219"/>
      <c r="F4" s="218"/>
      <c r="G4" s="217"/>
      <c r="H4" s="217"/>
      <c r="I4" s="217"/>
      <c r="J4" s="217"/>
      <c r="K4" s="216"/>
      <c r="L4" s="217"/>
    </row>
    <row r="5" spans="1:12" x14ac:dyDescent="0.25">
      <c r="A5" s="93" t="s">
        <v>127</v>
      </c>
      <c r="B5" s="187">
        <f>+B31+B55+B79</f>
        <v>1933.8</v>
      </c>
      <c r="C5" s="439">
        <f>+C31+C55+C79</f>
        <v>2200.8999999999996</v>
      </c>
      <c r="D5" s="439">
        <f>+D31+D55+D79</f>
        <v>2328.34</v>
      </c>
      <c r="E5" s="439">
        <f>+E31+E55+E79</f>
        <v>2945.9600000000005</v>
      </c>
      <c r="F5" s="185">
        <f>+B5+C5+D5+E5</f>
        <v>9409</v>
      </c>
      <c r="G5" s="187">
        <f>+G31+G55+G79</f>
        <v>2276.9</v>
      </c>
      <c r="H5" s="439">
        <f>+H31+H55+H79</f>
        <v>2535.6000000000004</v>
      </c>
      <c r="I5" s="439">
        <f>+I31+I55+I79</f>
        <v>2621.1</v>
      </c>
      <c r="J5" s="439">
        <f>+J31+J55+J79</f>
        <v>3403.9</v>
      </c>
      <c r="K5" s="185">
        <f>+G5+H5+I5+J5</f>
        <v>10837.5</v>
      </c>
      <c r="L5" s="187">
        <f>+L31+L55+L79</f>
        <v>2428.6999999999998</v>
      </c>
    </row>
    <row r="6" spans="1:12" x14ac:dyDescent="0.25">
      <c r="A6" s="88" t="s">
        <v>13</v>
      </c>
      <c r="B6" s="208">
        <f>+B32+B56</f>
        <v>2117.2000000000007</v>
      </c>
      <c r="C6" s="92">
        <f>+C32+C56</f>
        <v>2238.6000000000004</v>
      </c>
      <c r="D6" s="92">
        <f>+D32+D56</f>
        <v>2310.3000000000002</v>
      </c>
      <c r="E6" s="92">
        <f>+E32+E56</f>
        <v>2553.7000000000003</v>
      </c>
      <c r="F6" s="214">
        <f>+B6+C6+D6+E6</f>
        <v>9219.8000000000011</v>
      </c>
      <c r="G6" s="208">
        <f>+G32+G56</f>
        <v>2397</v>
      </c>
      <c r="H6" s="92">
        <f>+H32+H56</f>
        <v>2575.8000000000002</v>
      </c>
      <c r="I6" s="92">
        <f>+I32+I56</f>
        <v>2640</v>
      </c>
      <c r="J6" s="92">
        <f>+J32+J56</f>
        <v>2889.7999999999997</v>
      </c>
      <c r="K6" s="214">
        <f>+G6+H6+I6+J6</f>
        <v>10502.6</v>
      </c>
      <c r="L6" s="208">
        <f>+L32+L56</f>
        <v>2706.8</v>
      </c>
    </row>
    <row r="7" spans="1:12" x14ac:dyDescent="0.25">
      <c r="A7" s="93" t="s">
        <v>142</v>
      </c>
      <c r="B7" s="187">
        <f t="shared" ref="B7:K7" si="0">+B5+B6</f>
        <v>4051.0000000000009</v>
      </c>
      <c r="C7" s="439">
        <f t="shared" ref="C7:E7" si="1">+C5+C6</f>
        <v>4439.5</v>
      </c>
      <c r="D7" s="439">
        <f t="shared" si="1"/>
        <v>4638.6400000000003</v>
      </c>
      <c r="E7" s="439">
        <f t="shared" si="1"/>
        <v>5499.6600000000008</v>
      </c>
      <c r="F7" s="185">
        <f t="shared" si="0"/>
        <v>18628.800000000003</v>
      </c>
      <c r="G7" s="187">
        <f t="shared" si="0"/>
        <v>4673.8999999999996</v>
      </c>
      <c r="H7" s="439">
        <f t="shared" si="0"/>
        <v>5111.4000000000005</v>
      </c>
      <c r="I7" s="439">
        <f t="shared" si="0"/>
        <v>5261.1</v>
      </c>
      <c r="J7" s="439">
        <f t="shared" si="0"/>
        <v>6293.7</v>
      </c>
      <c r="K7" s="185">
        <f t="shared" si="0"/>
        <v>21340.1</v>
      </c>
      <c r="L7" s="187">
        <f>+L5+L6</f>
        <v>5135.5</v>
      </c>
    </row>
    <row r="8" spans="1:12" ht="3" customHeight="1" x14ac:dyDescent="0.25">
      <c r="A8" s="86"/>
      <c r="B8" s="50"/>
      <c r="C8" s="51"/>
      <c r="D8" s="52"/>
      <c r="E8" s="52"/>
      <c r="F8" s="174"/>
      <c r="G8" s="50"/>
      <c r="H8" s="51"/>
      <c r="I8" s="51"/>
      <c r="J8" s="51"/>
      <c r="K8" s="174"/>
      <c r="L8" s="50"/>
    </row>
    <row r="9" spans="1:12" x14ac:dyDescent="0.25">
      <c r="A9" s="86" t="s">
        <v>144</v>
      </c>
      <c r="B9" s="181">
        <f>+B35+B59</f>
        <v>3146.3999999999996</v>
      </c>
      <c r="C9" s="436">
        <f>+C35+C59</f>
        <v>3409.6</v>
      </c>
      <c r="D9" s="436">
        <f>+D35+D59</f>
        <v>3598.2</v>
      </c>
      <c r="E9" s="436">
        <f>+E35+E59</f>
        <v>4150.8</v>
      </c>
      <c r="F9" s="180">
        <f>+B9+C9+D9+E9</f>
        <v>14305</v>
      </c>
      <c r="G9" s="181">
        <f>+G35+G59</f>
        <v>3620</v>
      </c>
      <c r="H9" s="436">
        <f>+H35+H59</f>
        <v>3958.7</v>
      </c>
      <c r="I9" s="436">
        <f>+I35+I59</f>
        <v>4098.8999999999996</v>
      </c>
      <c r="J9" s="436">
        <f>+J35+J59</f>
        <v>4771.6000000000004</v>
      </c>
      <c r="K9" s="180">
        <f>+G9+H9+I9+J9</f>
        <v>16449.199999999997</v>
      </c>
      <c r="L9" s="181">
        <f>+L35+L59</f>
        <v>4022</v>
      </c>
    </row>
    <row r="10" spans="1:12" x14ac:dyDescent="0.25">
      <c r="A10" s="86" t="s">
        <v>141</v>
      </c>
      <c r="B10" s="181">
        <f t="shared" ref="B10:E11" si="2">+B36+B60+B82</f>
        <v>606.70000000000005</v>
      </c>
      <c r="C10" s="436">
        <f t="shared" si="2"/>
        <v>712.6</v>
      </c>
      <c r="D10" s="436">
        <f t="shared" si="2"/>
        <v>704.9</v>
      </c>
      <c r="E10" s="436">
        <f t="shared" si="2"/>
        <v>834.6</v>
      </c>
      <c r="F10" s="180">
        <f>+B10+C10+D10+E10</f>
        <v>2858.8</v>
      </c>
      <c r="G10" s="181">
        <f t="shared" ref="G10:J11" si="3">+G36+G60+G82</f>
        <v>732.19999999999993</v>
      </c>
      <c r="H10" s="436">
        <f t="shared" si="3"/>
        <v>826.2</v>
      </c>
      <c r="I10" s="436">
        <f t="shared" si="3"/>
        <v>859.2</v>
      </c>
      <c r="J10" s="436">
        <f t="shared" si="3"/>
        <v>948.1</v>
      </c>
      <c r="K10" s="180">
        <f>+G10+H10+I10+J10</f>
        <v>3365.7000000000003</v>
      </c>
      <c r="L10" s="181">
        <f>+L36+L60+L82</f>
        <v>792.90000000000009</v>
      </c>
    </row>
    <row r="11" spans="1:12" x14ac:dyDescent="0.25">
      <c r="A11" s="435" t="s">
        <v>140</v>
      </c>
      <c r="B11" s="181">
        <f t="shared" si="2"/>
        <v>94.1</v>
      </c>
      <c r="C11" s="436">
        <f t="shared" si="2"/>
        <v>100.30000000000001</v>
      </c>
      <c r="D11" s="436">
        <f t="shared" si="2"/>
        <v>102.6</v>
      </c>
      <c r="E11" s="436">
        <f t="shared" si="2"/>
        <v>109.1</v>
      </c>
      <c r="F11" s="181">
        <f>+B11+C11+D11+E11</f>
        <v>406.1</v>
      </c>
      <c r="G11" s="181">
        <f t="shared" si="3"/>
        <v>108.2</v>
      </c>
      <c r="H11" s="436">
        <f t="shared" si="3"/>
        <v>113.4</v>
      </c>
      <c r="I11" s="436">
        <f t="shared" si="3"/>
        <v>113.50000000000001</v>
      </c>
      <c r="J11" s="436">
        <f t="shared" si="3"/>
        <v>117</v>
      </c>
      <c r="K11" s="181">
        <f>+G11+H11+I11+J11</f>
        <v>452.1</v>
      </c>
      <c r="L11" s="181">
        <f>+L37+L61+L83</f>
        <v>105.8</v>
      </c>
    </row>
    <row r="12" spans="1:12" s="413" customFormat="1" x14ac:dyDescent="0.25">
      <c r="A12" s="88" t="s">
        <v>211</v>
      </c>
      <c r="B12" s="210">
        <v>0</v>
      </c>
      <c r="C12" s="209">
        <v>0</v>
      </c>
      <c r="D12" s="89">
        <v>0</v>
      </c>
      <c r="E12" s="89">
        <v>0</v>
      </c>
      <c r="F12" s="188">
        <v>0</v>
      </c>
      <c r="G12" s="210">
        <v>0</v>
      </c>
      <c r="H12" s="209">
        <v>0</v>
      </c>
      <c r="I12" s="89">
        <v>0</v>
      </c>
      <c r="J12" s="89">
        <v>0</v>
      </c>
      <c r="K12" s="188">
        <v>0</v>
      </c>
      <c r="L12" s="210">
        <f>+L84</f>
        <v>89</v>
      </c>
    </row>
    <row r="13" spans="1:12" x14ac:dyDescent="0.25">
      <c r="A13" s="86" t="s">
        <v>3</v>
      </c>
      <c r="B13" s="50">
        <f>SUM(B9:B11)</f>
        <v>3847.1999999999994</v>
      </c>
      <c r="C13" s="438">
        <f>SUM(C9:C11)</f>
        <v>4222.5</v>
      </c>
      <c r="D13" s="51">
        <f>SUM(D9:D12)</f>
        <v>4405.7</v>
      </c>
      <c r="E13" s="52">
        <f>SUM(E9:E12)</f>
        <v>5094.5000000000009</v>
      </c>
      <c r="F13" s="174">
        <f>+F9+F10+F11+F12</f>
        <v>17569.899999999998</v>
      </c>
      <c r="G13" s="50">
        <f>SUM(G9:G11)</f>
        <v>4460.3999999999996</v>
      </c>
      <c r="H13" s="438">
        <f>SUM(H9:H11)</f>
        <v>4898.2999999999993</v>
      </c>
      <c r="I13" s="51">
        <f>SUM(I9:I12)</f>
        <v>5071.5999999999995</v>
      </c>
      <c r="J13" s="52">
        <f>SUM(J9:J12)</f>
        <v>5836.7000000000007</v>
      </c>
      <c r="K13" s="174">
        <f>+K9+K10+K11+K12</f>
        <v>20266.999999999996</v>
      </c>
      <c r="L13" s="50">
        <f>SUM(L9:L12)</f>
        <v>5009.7</v>
      </c>
    </row>
    <row r="14" spans="1:12" ht="3.75" customHeight="1" x14ac:dyDescent="0.25">
      <c r="A14" s="86"/>
      <c r="B14" s="50"/>
      <c r="C14" s="438"/>
      <c r="D14" s="52"/>
      <c r="E14" s="52"/>
      <c r="F14" s="174"/>
      <c r="G14" s="50"/>
      <c r="H14" s="438"/>
      <c r="I14" s="52"/>
      <c r="J14" s="52"/>
      <c r="K14" s="174"/>
      <c r="L14" s="50"/>
    </row>
    <row r="15" spans="1:12" x14ac:dyDescent="0.25">
      <c r="A15" s="86" t="s">
        <v>4</v>
      </c>
      <c r="B15" s="181">
        <f>+B40+B64+B87</f>
        <v>1.4</v>
      </c>
      <c r="C15" s="436">
        <f>+C40+C64+C87</f>
        <v>11.3</v>
      </c>
      <c r="D15" s="436">
        <f>+D40+D64+D87</f>
        <v>6.2</v>
      </c>
      <c r="E15" s="436">
        <f>+E40+E64+E87</f>
        <v>0.9</v>
      </c>
      <c r="F15" s="180">
        <f>+B15+C15+D15+E15</f>
        <v>19.8</v>
      </c>
      <c r="G15" s="181">
        <f>+G40+G64+G87</f>
        <v>0</v>
      </c>
      <c r="H15" s="436">
        <f>+H40+H64+H87</f>
        <v>12.3</v>
      </c>
      <c r="I15" s="436">
        <f>+I40+I64+I87</f>
        <v>0.2</v>
      </c>
      <c r="J15" s="436">
        <f>+J40+J64+J87</f>
        <v>2.2999999999999998</v>
      </c>
      <c r="K15" s="180">
        <f>+G15+H15+I15+J15</f>
        <v>14.8</v>
      </c>
      <c r="L15" s="181">
        <f>+L40+L64+L87</f>
        <v>19.2</v>
      </c>
    </row>
    <row r="16" spans="1:12" ht="3" customHeight="1" x14ac:dyDescent="0.25">
      <c r="A16" s="86"/>
      <c r="B16" s="50"/>
      <c r="C16" s="438"/>
      <c r="D16" s="52"/>
      <c r="E16" s="52"/>
      <c r="F16" s="174"/>
      <c r="G16" s="50"/>
      <c r="H16" s="438"/>
      <c r="I16" s="52"/>
      <c r="J16" s="52"/>
      <c r="K16" s="174"/>
      <c r="L16" s="50"/>
    </row>
    <row r="17" spans="1:12" x14ac:dyDescent="0.25">
      <c r="A17" s="86" t="s">
        <v>5</v>
      </c>
      <c r="B17" s="50">
        <f>+B7-B13+B15</f>
        <v>205.20000000000155</v>
      </c>
      <c r="C17" s="438">
        <f>+C7-C13+C15</f>
        <v>228.3</v>
      </c>
      <c r="D17" s="51">
        <f>+D7-D13+D15</f>
        <v>239.1400000000005</v>
      </c>
      <c r="E17" s="51">
        <f>+E7-E13+E15</f>
        <v>406.05999999999983</v>
      </c>
      <c r="F17" s="50">
        <f>+B17+C17+D17+E17</f>
        <v>1078.7000000000021</v>
      </c>
      <c r="G17" s="50">
        <f>+G7-G13+G15</f>
        <v>213.5</v>
      </c>
      <c r="H17" s="438">
        <f>+H7-H13+H15</f>
        <v>225.40000000000128</v>
      </c>
      <c r="I17" s="51">
        <f>+I7-I13+I15</f>
        <v>189.7000000000009</v>
      </c>
      <c r="J17" s="51">
        <f>+J7-J13+J15</f>
        <v>459.2999999999991</v>
      </c>
      <c r="K17" s="50">
        <f>+G17+H17+I17+J17</f>
        <v>1087.9000000000012</v>
      </c>
      <c r="L17" s="50">
        <f>+L7-L13+L15</f>
        <v>145.00000000000017</v>
      </c>
    </row>
    <row r="18" spans="1:12" ht="3.75" customHeight="1" x14ac:dyDescent="0.25">
      <c r="A18" s="86"/>
      <c r="B18" s="50"/>
      <c r="C18" s="438"/>
      <c r="D18" s="52"/>
      <c r="E18" s="52"/>
      <c r="F18" s="174"/>
      <c r="G18" s="50"/>
      <c r="H18" s="438"/>
      <c r="I18" s="52"/>
      <c r="J18" s="52"/>
      <c r="K18" s="174"/>
      <c r="L18" s="50"/>
    </row>
    <row r="19" spans="1:12" x14ac:dyDescent="0.25">
      <c r="A19" s="86" t="s">
        <v>139</v>
      </c>
      <c r="B19" s="181">
        <f t="shared" ref="B19:E21" si="4">+B44+B68+B91</f>
        <v>15</v>
      </c>
      <c r="C19" s="436">
        <f t="shared" si="4"/>
        <v>75.400000000000006</v>
      </c>
      <c r="D19" s="436">
        <f t="shared" si="4"/>
        <v>67.8</v>
      </c>
      <c r="E19" s="436">
        <f t="shared" si="4"/>
        <v>52</v>
      </c>
      <c r="F19" s="180">
        <f>+B19+C19+D19+E19</f>
        <v>210.2</v>
      </c>
      <c r="G19" s="181">
        <f t="shared" ref="G19:J21" si="5">+G44+G68+G91</f>
        <v>40.199999999999996</v>
      </c>
      <c r="H19" s="436">
        <f t="shared" si="5"/>
        <v>96</v>
      </c>
      <c r="I19" s="436">
        <f t="shared" si="5"/>
        <v>126.8</v>
      </c>
      <c r="J19" s="436">
        <f t="shared" si="5"/>
        <v>61.599999999999994</v>
      </c>
      <c r="K19" s="180">
        <f>+G19+H19+I19+J19</f>
        <v>324.60000000000002</v>
      </c>
      <c r="L19" s="181">
        <f>+L44+L68+L91</f>
        <v>72.7</v>
      </c>
    </row>
    <row r="20" spans="1:12" x14ac:dyDescent="0.25">
      <c r="A20" s="86" t="s">
        <v>138</v>
      </c>
      <c r="B20" s="181">
        <f t="shared" si="4"/>
        <v>4.13</v>
      </c>
      <c r="C20" s="436">
        <f t="shared" si="4"/>
        <v>3.11</v>
      </c>
      <c r="D20" s="436">
        <f t="shared" si="4"/>
        <v>1.7</v>
      </c>
      <c r="E20" s="436">
        <f t="shared" si="4"/>
        <v>0.34000000000000008</v>
      </c>
      <c r="F20" s="180">
        <f>+B20+C20+D20+E20</f>
        <v>9.2799999999999994</v>
      </c>
      <c r="G20" s="181">
        <f t="shared" si="5"/>
        <v>-4.3</v>
      </c>
      <c r="H20" s="436">
        <f t="shared" si="5"/>
        <v>4</v>
      </c>
      <c r="I20" s="436">
        <f t="shared" si="5"/>
        <v>95.500000000000014</v>
      </c>
      <c r="J20" s="436">
        <f t="shared" si="5"/>
        <v>-2.2000000000000002</v>
      </c>
      <c r="K20" s="180">
        <f>+G20+H20+I20+J20</f>
        <v>93.000000000000014</v>
      </c>
      <c r="L20" s="181">
        <f>+L45+L69+L92</f>
        <v>20.8</v>
      </c>
    </row>
    <row r="21" spans="1:12" ht="28.5" x14ac:dyDescent="0.25">
      <c r="A21" s="86" t="s">
        <v>137</v>
      </c>
      <c r="B21" s="451">
        <f t="shared" si="4"/>
        <v>2</v>
      </c>
      <c r="C21" s="452">
        <f t="shared" si="4"/>
        <v>1.0999999999999999</v>
      </c>
      <c r="D21" s="452">
        <f t="shared" si="4"/>
        <v>1.06</v>
      </c>
      <c r="E21" s="452">
        <f t="shared" si="4"/>
        <v>2.2000000000000002</v>
      </c>
      <c r="F21" s="451">
        <f>+B21+C21+D21+E21</f>
        <v>6.36</v>
      </c>
      <c r="G21" s="451">
        <f t="shared" si="5"/>
        <v>-0.19999999999999998</v>
      </c>
      <c r="H21" s="452">
        <f t="shared" si="5"/>
        <v>1</v>
      </c>
      <c r="I21" s="452">
        <f t="shared" si="5"/>
        <v>1.2</v>
      </c>
      <c r="J21" s="452">
        <f t="shared" si="5"/>
        <v>0.7</v>
      </c>
      <c r="K21" s="451">
        <f>+G21+H21+I21+J21</f>
        <v>2.7</v>
      </c>
      <c r="L21" s="451">
        <f>+L46+L70+L93</f>
        <v>6.4</v>
      </c>
    </row>
    <row r="22" spans="1:12" ht="3.75" customHeight="1" x14ac:dyDescent="0.25">
      <c r="A22" s="435"/>
      <c r="B22" s="50"/>
      <c r="C22" s="438"/>
      <c r="D22" s="437"/>
      <c r="E22" s="437"/>
      <c r="F22" s="50"/>
      <c r="G22" s="50"/>
      <c r="H22" s="438"/>
      <c r="I22" s="437"/>
      <c r="J22" s="437"/>
      <c r="K22" s="50"/>
      <c r="L22" s="50"/>
    </row>
    <row r="23" spans="1:12" x14ac:dyDescent="0.25">
      <c r="A23" s="435" t="s">
        <v>136</v>
      </c>
      <c r="B23" s="50">
        <f>+B11</f>
        <v>94.1</v>
      </c>
      <c r="C23" s="438">
        <f>+C11</f>
        <v>100.30000000000001</v>
      </c>
      <c r="D23" s="437">
        <f>+D11</f>
        <v>102.6</v>
      </c>
      <c r="E23" s="437">
        <f>+E11</f>
        <v>109.1</v>
      </c>
      <c r="F23" s="50">
        <f>+B23+C23+D23+E23</f>
        <v>406.1</v>
      </c>
      <c r="G23" s="50">
        <f>+G11</f>
        <v>108.2</v>
      </c>
      <c r="H23" s="438">
        <f>+H11</f>
        <v>113.4</v>
      </c>
      <c r="I23" s="437">
        <f>+I11</f>
        <v>113.50000000000001</v>
      </c>
      <c r="J23" s="437">
        <f>+J11</f>
        <v>117</v>
      </c>
      <c r="K23" s="50">
        <f>+G23+H23+I23+J23</f>
        <v>452.1</v>
      </c>
      <c r="L23" s="50">
        <f>+L11</f>
        <v>105.8</v>
      </c>
    </row>
    <row r="24" spans="1:12" s="413" customFormat="1" x14ac:dyDescent="0.25">
      <c r="A24" s="88" t="s">
        <v>215</v>
      </c>
      <c r="B24" s="208">
        <f>+B12</f>
        <v>0</v>
      </c>
      <c r="C24" s="92">
        <f>+C12</f>
        <v>0</v>
      </c>
      <c r="D24" s="89">
        <v>0</v>
      </c>
      <c r="E24" s="89">
        <v>0</v>
      </c>
      <c r="F24" s="208">
        <v>0</v>
      </c>
      <c r="G24" s="208">
        <f>+G12</f>
        <v>0</v>
      </c>
      <c r="H24" s="92">
        <f>+H12</f>
        <v>0</v>
      </c>
      <c r="I24" s="89">
        <v>0</v>
      </c>
      <c r="J24" s="89">
        <v>0</v>
      </c>
      <c r="K24" s="208">
        <v>0</v>
      </c>
      <c r="L24" s="208">
        <f>+L12</f>
        <v>89</v>
      </c>
    </row>
    <row r="25" spans="1:12" x14ac:dyDescent="0.25">
      <c r="A25" s="93" t="s">
        <v>7</v>
      </c>
      <c r="B25" s="187">
        <f>+B17+B19+B20-B21+B23</f>
        <v>316.43000000000154</v>
      </c>
      <c r="C25" s="439">
        <f>+C17+C19+C20-C21+C23</f>
        <v>406.01000000000005</v>
      </c>
      <c r="D25" s="439">
        <f>+D17+D19+D20-D21+D23</f>
        <v>410.18000000000052</v>
      </c>
      <c r="E25" s="186">
        <f>+E17+E19+E20-E21+E23</f>
        <v>565.29999999999984</v>
      </c>
      <c r="F25" s="187">
        <f>+B25+C25+D25+E25</f>
        <v>1697.9200000000019</v>
      </c>
      <c r="G25" s="187">
        <f>+G17+G19+G20-G21+G23</f>
        <v>357.79999999999995</v>
      </c>
      <c r="H25" s="439">
        <f>+H17+H19+H20-H21+H23</f>
        <v>437.80000000000132</v>
      </c>
      <c r="I25" s="439">
        <f>+I17+I19+I20-I21+I23</f>
        <v>524.30000000000098</v>
      </c>
      <c r="J25" s="186">
        <f>+J17+J19+J20-J21+J23</f>
        <v>634.99999999999898</v>
      </c>
      <c r="K25" s="187">
        <f>+G25+H25+I25+J25</f>
        <v>1954.9000000000015</v>
      </c>
      <c r="L25" s="187">
        <f>+L17+L19+L20-L21+L23+L24</f>
        <v>426.90000000000015</v>
      </c>
    </row>
    <row r="26" spans="1:12" x14ac:dyDescent="0.25">
      <c r="A26" s="86" t="s">
        <v>135</v>
      </c>
      <c r="B26" s="50">
        <f>+B50+B74+B98</f>
        <v>-3.2300000000000324</v>
      </c>
      <c r="C26" s="438">
        <f>+C50+C74+C98</f>
        <v>12.589999999999861</v>
      </c>
      <c r="D26" s="438">
        <f>+D50+D74+D98</f>
        <v>5.1599999999999753</v>
      </c>
      <c r="E26" s="438">
        <f>+E50+E74+E98</f>
        <v>4.3400000000000105</v>
      </c>
      <c r="F26" s="174">
        <f>+B26+C26+D26+E26</f>
        <v>18.859999999999815</v>
      </c>
      <c r="G26" s="50">
        <f>+G50+G74+G98</f>
        <v>-9.9999999999999876</v>
      </c>
      <c r="H26" s="438">
        <f>+H50+H74+H98</f>
        <v>1.5000000000000142</v>
      </c>
      <c r="I26" s="438">
        <f>+I50+I74+I98</f>
        <v>-60.900000000000247</v>
      </c>
      <c r="J26" s="438">
        <f>+J50+J74+J98</f>
        <v>19.600000000000506</v>
      </c>
      <c r="K26" s="174">
        <f>+G26+H26+I26+J26</f>
        <v>-49.799999999999713</v>
      </c>
      <c r="L26" s="50">
        <f>+L50+L74+L98</f>
        <v>23.1</v>
      </c>
    </row>
    <row r="27" spans="1:12" x14ac:dyDescent="0.25">
      <c r="A27" s="93" t="s">
        <v>8</v>
      </c>
      <c r="B27" s="187">
        <f t="shared" ref="B27:F27" si="6">+B25+B26</f>
        <v>313.20000000000152</v>
      </c>
      <c r="C27" s="439">
        <f t="shared" ref="C27" si="7">+C25+C26</f>
        <v>418.59999999999991</v>
      </c>
      <c r="D27" s="94">
        <f t="shared" si="6"/>
        <v>415.34000000000049</v>
      </c>
      <c r="E27" s="94">
        <f t="shared" si="6"/>
        <v>569.63999999999987</v>
      </c>
      <c r="F27" s="187">
        <f t="shared" si="6"/>
        <v>1716.7800000000018</v>
      </c>
      <c r="G27" s="187">
        <f t="shared" ref="G27:K27" si="8">+G25+G26</f>
        <v>347.79999999999995</v>
      </c>
      <c r="H27" s="439">
        <f t="shared" si="8"/>
        <v>439.30000000000132</v>
      </c>
      <c r="I27" s="94">
        <f t="shared" si="8"/>
        <v>463.40000000000072</v>
      </c>
      <c r="J27" s="94">
        <f t="shared" si="8"/>
        <v>654.59999999999945</v>
      </c>
      <c r="K27" s="187">
        <f t="shared" si="8"/>
        <v>1905.1000000000017</v>
      </c>
      <c r="L27" s="187">
        <f t="shared" ref="L27" si="9">+L25+L26</f>
        <v>450.00000000000017</v>
      </c>
    </row>
    <row r="28" spans="1:12" x14ac:dyDescent="0.25">
      <c r="A28" s="86" t="s">
        <v>134</v>
      </c>
      <c r="B28" s="184">
        <f t="shared" ref="B28:F28" si="10">+B27/B5</f>
        <v>0.16196090598821053</v>
      </c>
      <c r="C28" s="442">
        <f t="shared" ref="C28" si="11">+C27/C5</f>
        <v>0.19019492025989368</v>
      </c>
      <c r="D28" s="207">
        <f t="shared" si="10"/>
        <v>0.17838460018725807</v>
      </c>
      <c r="E28" s="207">
        <f t="shared" si="10"/>
        <v>0.1933631142310146</v>
      </c>
      <c r="F28" s="182">
        <f t="shared" si="10"/>
        <v>0.1824614730577109</v>
      </c>
      <c r="G28" s="184">
        <f t="shared" ref="G28:K28" si="12">+G27/G5</f>
        <v>0.15275154815758266</v>
      </c>
      <c r="H28" s="442">
        <f t="shared" si="12"/>
        <v>0.17325287900299782</v>
      </c>
      <c r="I28" s="207">
        <f t="shared" si="12"/>
        <v>0.17679600167868481</v>
      </c>
      <c r="J28" s="207">
        <f t="shared" si="12"/>
        <v>0.19230882223332044</v>
      </c>
      <c r="K28" s="182">
        <f t="shared" si="12"/>
        <v>0.17578777393310283</v>
      </c>
      <c r="L28" s="184">
        <f t="shared" ref="L28" si="13">+L27/L5</f>
        <v>0.18528430847778654</v>
      </c>
    </row>
    <row r="29" spans="1:12" x14ac:dyDescent="0.25">
      <c r="A29" s="86"/>
      <c r="B29" s="206"/>
      <c r="C29" s="103"/>
      <c r="D29" s="43"/>
      <c r="E29" s="43"/>
      <c r="F29" s="205"/>
      <c r="K29" s="4"/>
      <c r="L29" s="413"/>
    </row>
    <row r="30" spans="1:12" x14ac:dyDescent="0.25">
      <c r="A30" s="82" t="s">
        <v>207</v>
      </c>
      <c r="B30" s="204"/>
      <c r="C30" s="203"/>
      <c r="D30" s="202"/>
      <c r="E30" s="202"/>
      <c r="F30" s="201"/>
      <c r="G30" s="57"/>
      <c r="H30" s="57"/>
      <c r="I30" s="57"/>
      <c r="J30" s="57"/>
      <c r="K30" s="200"/>
      <c r="L30" s="57"/>
    </row>
    <row r="31" spans="1:12" x14ac:dyDescent="0.25">
      <c r="A31" s="93" t="s">
        <v>127</v>
      </c>
      <c r="B31" s="199">
        <f>+'Segment Revenue Detail History'!B11</f>
        <v>1302.3999999999999</v>
      </c>
      <c r="C31" s="441">
        <f>+'Segment Revenue Detail History'!C11</f>
        <v>1542.6999999999998</v>
      </c>
      <c r="D31" s="441">
        <f>+'Segment Revenue Detail History'!D11</f>
        <v>1638.7</v>
      </c>
      <c r="E31" s="441">
        <f>+'Segment Revenue Detail History'!E11</f>
        <v>2150.4</v>
      </c>
      <c r="F31" s="199">
        <f>+B31+C31+D31+E31</f>
        <v>6634.1999999999989</v>
      </c>
      <c r="G31" s="199">
        <f>+'Segment Revenue Detail History'!G11</f>
        <v>1486.7</v>
      </c>
      <c r="H31" s="441">
        <f>+'Segment Revenue Detail History'!H11</f>
        <v>1750.2</v>
      </c>
      <c r="I31" s="441">
        <f>+'Segment Revenue Detail History'!I11</f>
        <v>1848.4</v>
      </c>
      <c r="J31" s="441">
        <f>+'Segment Revenue Detail History'!J11</f>
        <v>2478.4</v>
      </c>
      <c r="K31" s="199">
        <f>+G31+H31+I31+J31</f>
        <v>7563.7000000000007</v>
      </c>
      <c r="L31" s="199">
        <f>+'Segment Revenue Detail History'!L11</f>
        <v>1601.6000000000001</v>
      </c>
    </row>
    <row r="32" spans="1:12" x14ac:dyDescent="0.25">
      <c r="A32" s="88" t="s">
        <v>13</v>
      </c>
      <c r="B32" s="190">
        <f>+'Segment Revenue Detail History'!B12</f>
        <v>177.00000000000023</v>
      </c>
      <c r="C32" s="189">
        <f>+'Segment Revenue Detail History'!C12</f>
        <v>181.20000000000027</v>
      </c>
      <c r="D32" s="189">
        <f>+'Segment Revenue Detail History'!D12</f>
        <v>184.70000000000005</v>
      </c>
      <c r="E32" s="189">
        <f>+'Segment Revenue Detail History'!E12</f>
        <v>202.59999999999991</v>
      </c>
      <c r="F32" s="190">
        <f>+B32+C32+D32+E32</f>
        <v>745.50000000000045</v>
      </c>
      <c r="G32" s="190">
        <f>+'Segment Revenue Detail History'!G12</f>
        <v>212.70000000000005</v>
      </c>
      <c r="H32" s="189">
        <f>+'Segment Revenue Detail History'!H12</f>
        <v>208.89999999999986</v>
      </c>
      <c r="I32" s="189">
        <f>+'Segment Revenue Detail History'!I12</f>
        <v>211</v>
      </c>
      <c r="J32" s="189">
        <f>+'Segment Revenue Detail History'!J12</f>
        <v>243.69999999999982</v>
      </c>
      <c r="K32" s="190">
        <f>+G32+H32+I32+J32</f>
        <v>876.29999999999973</v>
      </c>
      <c r="L32" s="190">
        <f>+'Segment Revenue Detail History'!L12</f>
        <v>232.79999999999995</v>
      </c>
    </row>
    <row r="33" spans="1:12" x14ac:dyDescent="0.25">
      <c r="A33" s="93" t="s">
        <v>142</v>
      </c>
      <c r="B33" s="199">
        <f t="shared" ref="B33:K33" si="14">+B31+B32</f>
        <v>1479.4</v>
      </c>
      <c r="C33" s="198">
        <f t="shared" si="14"/>
        <v>1723.9</v>
      </c>
      <c r="D33" s="213">
        <f t="shared" si="14"/>
        <v>1823.4</v>
      </c>
      <c r="E33" s="198">
        <f t="shared" si="14"/>
        <v>2353</v>
      </c>
      <c r="F33" s="199">
        <f t="shared" si="14"/>
        <v>7379.6999999999989</v>
      </c>
      <c r="G33" s="199">
        <f t="shared" si="14"/>
        <v>1699.4</v>
      </c>
      <c r="H33" s="198">
        <f t="shared" si="14"/>
        <v>1959.1</v>
      </c>
      <c r="I33" s="213">
        <f t="shared" si="14"/>
        <v>2059.4</v>
      </c>
      <c r="J33" s="198">
        <f t="shared" si="14"/>
        <v>2722.1</v>
      </c>
      <c r="K33" s="199">
        <f t="shared" si="14"/>
        <v>8440</v>
      </c>
      <c r="L33" s="199">
        <f t="shared" ref="L33" si="15">+L31+L32</f>
        <v>1834.4</v>
      </c>
    </row>
    <row r="34" spans="1:12" ht="3.75" customHeight="1" x14ac:dyDescent="0.25">
      <c r="A34" s="86"/>
      <c r="B34" s="192"/>
      <c r="C34" s="191"/>
      <c r="D34" s="52"/>
      <c r="E34" s="52"/>
      <c r="F34" s="192"/>
      <c r="G34" s="192"/>
      <c r="H34" s="191"/>
      <c r="I34" s="191"/>
      <c r="J34" s="191"/>
      <c r="K34" s="174"/>
      <c r="L34" s="192"/>
    </row>
    <row r="35" spans="1:12" x14ac:dyDescent="0.25">
      <c r="A35" s="86" t="s">
        <v>144</v>
      </c>
      <c r="B35" s="194">
        <v>864.3</v>
      </c>
      <c r="C35" s="193">
        <v>1001.9</v>
      </c>
      <c r="D35" s="52">
        <v>1100.8</v>
      </c>
      <c r="E35" s="52">
        <v>1391.2</v>
      </c>
      <c r="F35" s="194">
        <f>+B35+C35+D35+E35</f>
        <v>4358.2</v>
      </c>
      <c r="G35" s="194">
        <v>1008.7</v>
      </c>
      <c r="H35" s="193">
        <v>1151.2</v>
      </c>
      <c r="I35" s="193">
        <v>1249.5999999999999</v>
      </c>
      <c r="J35" s="193">
        <v>1634.3</v>
      </c>
      <c r="K35" s="180">
        <f>+G35+H35+I35+J35</f>
        <v>5043.8</v>
      </c>
      <c r="L35" s="194">
        <v>1083.0999999999999</v>
      </c>
    </row>
    <row r="36" spans="1:12" x14ac:dyDescent="0.25">
      <c r="A36" s="86" t="s">
        <v>141</v>
      </c>
      <c r="B36" s="194">
        <v>420.5</v>
      </c>
      <c r="C36" s="193">
        <v>475.6</v>
      </c>
      <c r="D36" s="52">
        <v>456.9</v>
      </c>
      <c r="E36" s="52">
        <v>541.1</v>
      </c>
      <c r="F36" s="194">
        <f>+B36+C36+D36+E36</f>
        <v>1894.1</v>
      </c>
      <c r="G36" s="194">
        <v>481.8</v>
      </c>
      <c r="H36" s="193">
        <v>527</v>
      </c>
      <c r="I36" s="193">
        <v>541.6</v>
      </c>
      <c r="J36" s="193">
        <v>610.5</v>
      </c>
      <c r="K36" s="180">
        <f>+G36+H36+I36+J36</f>
        <v>2160.9</v>
      </c>
      <c r="L36" s="194">
        <v>496.7</v>
      </c>
    </row>
    <row r="37" spans="1:12" x14ac:dyDescent="0.25">
      <c r="A37" s="88" t="s">
        <v>140</v>
      </c>
      <c r="B37" s="196">
        <v>55.4</v>
      </c>
      <c r="C37" s="195">
        <v>61.8</v>
      </c>
      <c r="D37" s="89">
        <v>62.2</v>
      </c>
      <c r="E37" s="89">
        <v>64.400000000000006</v>
      </c>
      <c r="F37" s="196">
        <f>+B37+C37+D37+E37</f>
        <v>243.79999999999998</v>
      </c>
      <c r="G37" s="196">
        <v>65</v>
      </c>
      <c r="H37" s="195">
        <v>67</v>
      </c>
      <c r="I37" s="195">
        <v>71.7</v>
      </c>
      <c r="J37" s="195">
        <v>77.3</v>
      </c>
      <c r="K37" s="188">
        <f>+G37+H37+I37+J37</f>
        <v>281</v>
      </c>
      <c r="L37" s="196">
        <v>71.599999999999994</v>
      </c>
    </row>
    <row r="38" spans="1:12" x14ac:dyDescent="0.25">
      <c r="A38" s="86" t="s">
        <v>3</v>
      </c>
      <c r="B38" s="192">
        <f t="shared" ref="B38:K38" si="16">SUM(B35:B37)</f>
        <v>1340.2</v>
      </c>
      <c r="C38" s="191">
        <f t="shared" si="16"/>
        <v>1539.3</v>
      </c>
      <c r="D38" s="191">
        <f t="shared" si="16"/>
        <v>1619.8999999999999</v>
      </c>
      <c r="E38" s="191">
        <f t="shared" si="16"/>
        <v>1996.7000000000003</v>
      </c>
      <c r="F38" s="192">
        <f t="shared" si="16"/>
        <v>6496.0999999999995</v>
      </c>
      <c r="G38" s="192">
        <f t="shared" si="16"/>
        <v>1555.5</v>
      </c>
      <c r="H38" s="191">
        <f t="shared" si="16"/>
        <v>1745.2</v>
      </c>
      <c r="I38" s="191">
        <f t="shared" si="16"/>
        <v>1862.8999999999999</v>
      </c>
      <c r="J38" s="191">
        <f t="shared" si="16"/>
        <v>2322.1000000000004</v>
      </c>
      <c r="K38" s="192">
        <f t="shared" si="16"/>
        <v>7485.7000000000007</v>
      </c>
      <c r="L38" s="215">
        <f>+L35+L36+L37</f>
        <v>1651.3999999999999</v>
      </c>
    </row>
    <row r="39" spans="1:12" ht="3.75" customHeight="1" x14ac:dyDescent="0.25">
      <c r="A39" s="86"/>
      <c r="B39" s="192"/>
      <c r="C39" s="191"/>
      <c r="D39" s="52"/>
      <c r="E39" s="52"/>
      <c r="F39" s="192"/>
      <c r="G39" s="192"/>
      <c r="H39" s="191"/>
      <c r="I39" s="191"/>
      <c r="J39" s="191"/>
      <c r="K39" s="174"/>
      <c r="L39" s="192"/>
    </row>
    <row r="40" spans="1:12" hidden="1" x14ac:dyDescent="0.25">
      <c r="A40" s="86" t="s">
        <v>4</v>
      </c>
      <c r="B40" s="194">
        <v>0</v>
      </c>
      <c r="C40" s="193">
        <v>0</v>
      </c>
      <c r="D40" s="52">
        <v>0</v>
      </c>
      <c r="E40" s="52">
        <v>0</v>
      </c>
      <c r="F40" s="194">
        <v>0</v>
      </c>
      <c r="G40" s="194">
        <v>0</v>
      </c>
      <c r="H40" s="193">
        <v>0</v>
      </c>
      <c r="I40" s="193">
        <v>0</v>
      </c>
      <c r="J40" s="193">
        <f>+'Segment Results'!C19</f>
        <v>0</v>
      </c>
      <c r="K40" s="180">
        <f t="shared" ref="K40:K47" si="17">+G40+H40+I40+J40</f>
        <v>0</v>
      </c>
      <c r="L40" s="194">
        <v>0</v>
      </c>
    </row>
    <row r="41" spans="1:12" ht="3" hidden="1" customHeight="1" x14ac:dyDescent="0.25">
      <c r="A41" s="86"/>
      <c r="B41" s="192">
        <v>0</v>
      </c>
      <c r="C41" s="191">
        <v>0</v>
      </c>
      <c r="D41" s="52">
        <v>0</v>
      </c>
      <c r="E41" s="52">
        <v>0</v>
      </c>
      <c r="F41" s="192">
        <v>0</v>
      </c>
      <c r="G41" s="192">
        <v>0</v>
      </c>
      <c r="H41" s="191">
        <v>0</v>
      </c>
      <c r="I41" s="191">
        <v>0</v>
      </c>
      <c r="J41" s="191"/>
      <c r="K41" s="180">
        <f t="shared" si="17"/>
        <v>0</v>
      </c>
      <c r="L41" s="192">
        <v>0</v>
      </c>
    </row>
    <row r="42" spans="1:12" x14ac:dyDescent="0.25">
      <c r="A42" s="86" t="s">
        <v>5</v>
      </c>
      <c r="B42" s="192">
        <f>+B33-B38+B40</f>
        <v>139.20000000000005</v>
      </c>
      <c r="C42" s="191">
        <f>+C33-C38+C40</f>
        <v>184.60000000000014</v>
      </c>
      <c r="D42" s="191">
        <f>+D33-D38+D40</f>
        <v>203.50000000000023</v>
      </c>
      <c r="E42" s="52">
        <f>+E33-E38+E40</f>
        <v>356.29999999999973</v>
      </c>
      <c r="F42" s="192">
        <f>+B42+C42+D42+E42</f>
        <v>883.60000000000014</v>
      </c>
      <c r="G42" s="192">
        <f>+G33-G38+G40</f>
        <v>143.90000000000009</v>
      </c>
      <c r="H42" s="191">
        <f>+H33-H38+H40</f>
        <v>213.89999999999986</v>
      </c>
      <c r="I42" s="191">
        <f>+I33-I38+I40</f>
        <v>196.50000000000023</v>
      </c>
      <c r="J42" s="52">
        <f>+J33-J38+J40</f>
        <v>399.99999999999955</v>
      </c>
      <c r="K42" s="192">
        <f>+G42+H42+I42+J42</f>
        <v>954.29999999999973</v>
      </c>
      <c r="L42" s="192">
        <f>+L33-L38+L40</f>
        <v>183.00000000000023</v>
      </c>
    </row>
    <row r="43" spans="1:12" ht="2.25" customHeight="1" x14ac:dyDescent="0.25">
      <c r="A43" s="86"/>
      <c r="B43" s="192">
        <v>0</v>
      </c>
      <c r="C43" s="191">
        <v>0</v>
      </c>
      <c r="D43" s="52">
        <v>0</v>
      </c>
      <c r="E43" s="52">
        <v>0</v>
      </c>
      <c r="F43" s="192">
        <v>0</v>
      </c>
      <c r="G43" s="192">
        <v>0</v>
      </c>
      <c r="H43" s="191">
        <v>0</v>
      </c>
      <c r="I43" s="191">
        <v>0</v>
      </c>
      <c r="J43" s="191"/>
      <c r="K43" s="180">
        <f t="shared" si="17"/>
        <v>0</v>
      </c>
      <c r="L43" s="192">
        <v>0</v>
      </c>
    </row>
    <row r="44" spans="1:12" x14ac:dyDescent="0.25">
      <c r="A44" s="86" t="s">
        <v>139</v>
      </c>
      <c r="B44" s="194">
        <v>5.2</v>
      </c>
      <c r="C44" s="193">
        <v>5.5</v>
      </c>
      <c r="D44" s="52">
        <v>3.8</v>
      </c>
      <c r="E44" s="52">
        <v>6.2</v>
      </c>
      <c r="F44" s="194">
        <f>+B44+C44+D44+E44</f>
        <v>20.7</v>
      </c>
      <c r="G44" s="194">
        <v>4.4000000000000004</v>
      </c>
      <c r="H44" s="193">
        <v>7.8</v>
      </c>
      <c r="I44" s="193">
        <v>3.5</v>
      </c>
      <c r="J44" s="193">
        <v>0.3</v>
      </c>
      <c r="K44" s="180">
        <f t="shared" si="17"/>
        <v>16</v>
      </c>
      <c r="L44" s="194">
        <v>0.7</v>
      </c>
    </row>
    <row r="45" spans="1:12" x14ac:dyDescent="0.25">
      <c r="A45" s="86" t="s">
        <v>138</v>
      </c>
      <c r="B45" s="194">
        <v>0.43</v>
      </c>
      <c r="C45" s="193">
        <v>0.61</v>
      </c>
      <c r="D45" s="52">
        <v>0.3</v>
      </c>
      <c r="E45" s="52">
        <v>-1.46</v>
      </c>
      <c r="F45" s="194">
        <f t="shared" ref="F45:F46" si="18">+B45+C45+D45+E45</f>
        <v>-0.11999999999999988</v>
      </c>
      <c r="G45" s="194">
        <v>1.8</v>
      </c>
      <c r="H45" s="193">
        <v>1</v>
      </c>
      <c r="I45" s="193">
        <v>95.7</v>
      </c>
      <c r="J45" s="193">
        <v>5.2</v>
      </c>
      <c r="K45" s="180">
        <f t="shared" si="17"/>
        <v>103.7</v>
      </c>
      <c r="L45" s="194">
        <v>1.6</v>
      </c>
    </row>
    <row r="46" spans="1:12" ht="28.5" x14ac:dyDescent="0.25">
      <c r="A46" s="86" t="s">
        <v>137</v>
      </c>
      <c r="B46" s="448">
        <v>0.4</v>
      </c>
      <c r="C46" s="449">
        <v>-0.4</v>
      </c>
      <c r="D46" s="97">
        <v>0</v>
      </c>
      <c r="E46" s="97">
        <v>0.4</v>
      </c>
      <c r="F46" s="448">
        <f t="shared" si="18"/>
        <v>0.4</v>
      </c>
      <c r="G46" s="448">
        <v>-0.3</v>
      </c>
      <c r="H46" s="449">
        <v>-0.6</v>
      </c>
      <c r="I46" s="449">
        <v>0.3</v>
      </c>
      <c r="J46" s="449">
        <v>0.6</v>
      </c>
      <c r="K46" s="450">
        <f t="shared" si="17"/>
        <v>0</v>
      </c>
      <c r="L46" s="448">
        <v>-0.2</v>
      </c>
    </row>
    <row r="47" spans="1:12" ht="4.5" customHeight="1" x14ac:dyDescent="0.25">
      <c r="A47" s="86"/>
      <c r="B47" s="192"/>
      <c r="C47" s="191"/>
      <c r="D47" s="52"/>
      <c r="E47" s="52"/>
      <c r="F47" s="192"/>
      <c r="G47" s="192"/>
      <c r="H47" s="191"/>
      <c r="I47" s="191"/>
      <c r="J47" s="191"/>
      <c r="K47" s="180">
        <f t="shared" si="17"/>
        <v>0</v>
      </c>
      <c r="L47" s="192"/>
    </row>
    <row r="48" spans="1:12" x14ac:dyDescent="0.25">
      <c r="A48" s="88" t="s">
        <v>136</v>
      </c>
      <c r="B48" s="190">
        <f>+B37</f>
        <v>55.4</v>
      </c>
      <c r="C48" s="189">
        <f>+C37</f>
        <v>61.8</v>
      </c>
      <c r="D48" s="89">
        <f>+D37</f>
        <v>62.2</v>
      </c>
      <c r="E48" s="89">
        <f>+E37</f>
        <v>64.400000000000006</v>
      </c>
      <c r="F48" s="190">
        <f>+B48+C48+D48+E48</f>
        <v>243.79999999999998</v>
      </c>
      <c r="G48" s="190">
        <f>+G37</f>
        <v>65</v>
      </c>
      <c r="H48" s="189">
        <f>+H37</f>
        <v>67</v>
      </c>
      <c r="I48" s="89">
        <f>+I37</f>
        <v>71.7</v>
      </c>
      <c r="J48" s="89">
        <f>+J37</f>
        <v>77.3</v>
      </c>
      <c r="K48" s="190">
        <f>+G48+H48+I48+J48</f>
        <v>281</v>
      </c>
      <c r="L48" s="190">
        <f>+L37</f>
        <v>71.599999999999994</v>
      </c>
    </row>
    <row r="49" spans="1:12" x14ac:dyDescent="0.25">
      <c r="A49" s="93" t="s">
        <v>7</v>
      </c>
      <c r="B49" s="187">
        <f t="shared" ref="B49:K49" si="19">+B42+B44+B45-B46+B48</f>
        <v>199.83000000000004</v>
      </c>
      <c r="C49" s="186">
        <f t="shared" si="19"/>
        <v>252.91000000000014</v>
      </c>
      <c r="D49" s="186">
        <f t="shared" si="19"/>
        <v>269.80000000000024</v>
      </c>
      <c r="E49" s="186">
        <f t="shared" si="19"/>
        <v>425.03999999999974</v>
      </c>
      <c r="F49" s="187">
        <f t="shared" si="19"/>
        <v>1147.5800000000002</v>
      </c>
      <c r="G49" s="187">
        <f t="shared" si="19"/>
        <v>215.40000000000012</v>
      </c>
      <c r="H49" s="186">
        <f t="shared" si="19"/>
        <v>290.29999999999984</v>
      </c>
      <c r="I49" s="186">
        <f t="shared" si="19"/>
        <v>367.10000000000019</v>
      </c>
      <c r="J49" s="186">
        <f t="shared" si="19"/>
        <v>482.19999999999953</v>
      </c>
      <c r="K49" s="187">
        <f t="shared" si="19"/>
        <v>1354.9999999999998</v>
      </c>
      <c r="L49" s="187">
        <f t="shared" ref="L49" si="20">+L42+L44+L45-L46+L48</f>
        <v>257.10000000000019</v>
      </c>
    </row>
    <row r="50" spans="1:12" x14ac:dyDescent="0.25">
      <c r="A50" s="86" t="s">
        <v>135</v>
      </c>
      <c r="B50" s="50">
        <f>211.8-B49</f>
        <v>11.96999999999997</v>
      </c>
      <c r="C50" s="51">
        <f>268.3-C49</f>
        <v>15.389999999999873</v>
      </c>
      <c r="D50" s="51">
        <v>0</v>
      </c>
      <c r="E50" s="51">
        <v>0</v>
      </c>
      <c r="F50" s="174">
        <f>+B50+C50+D50+E50</f>
        <v>27.359999999999843</v>
      </c>
      <c r="G50" s="51">
        <v>0</v>
      </c>
      <c r="H50" s="51">
        <v>0</v>
      </c>
      <c r="I50" s="51">
        <f>295.9-I49</f>
        <v>-71.200000000000216</v>
      </c>
      <c r="J50" s="51">
        <f>501.6-J49</f>
        <v>19.400000000000489</v>
      </c>
      <c r="K50" s="174">
        <f>+G50+H50+I50+J50</f>
        <v>-51.799999999999727</v>
      </c>
      <c r="L50" s="51">
        <v>6.7</v>
      </c>
    </row>
    <row r="51" spans="1:12" x14ac:dyDescent="0.25">
      <c r="A51" s="93" t="s">
        <v>8</v>
      </c>
      <c r="B51" s="187">
        <f t="shared" ref="B51:L51" si="21">+B49+B50</f>
        <v>211.8</v>
      </c>
      <c r="C51" s="186">
        <f t="shared" si="21"/>
        <v>268.3</v>
      </c>
      <c r="D51" s="94">
        <f t="shared" si="21"/>
        <v>269.80000000000024</v>
      </c>
      <c r="E51" s="94">
        <f t="shared" si="21"/>
        <v>425.03999999999974</v>
      </c>
      <c r="F51" s="187">
        <f t="shared" si="21"/>
        <v>1174.94</v>
      </c>
      <c r="G51" s="187">
        <f t="shared" si="21"/>
        <v>215.40000000000012</v>
      </c>
      <c r="H51" s="186">
        <f t="shared" si="21"/>
        <v>290.29999999999984</v>
      </c>
      <c r="I51" s="94">
        <f t="shared" si="21"/>
        <v>295.89999999999998</v>
      </c>
      <c r="J51" s="94">
        <f t="shared" si="21"/>
        <v>501.6</v>
      </c>
      <c r="K51" s="187">
        <f t="shared" si="21"/>
        <v>1303.2</v>
      </c>
      <c r="L51" s="187">
        <f t="shared" si="21"/>
        <v>263.80000000000018</v>
      </c>
    </row>
    <row r="52" spans="1:12" x14ac:dyDescent="0.25">
      <c r="A52" s="86" t="s">
        <v>134</v>
      </c>
      <c r="B52" s="184">
        <f t="shared" ref="B52:L52" si="22">+B51/B31</f>
        <v>0.16262285012285016</v>
      </c>
      <c r="C52" s="183">
        <f t="shared" si="22"/>
        <v>0.17391586180073898</v>
      </c>
      <c r="D52" s="207">
        <f t="shared" si="22"/>
        <v>0.16464270458290123</v>
      </c>
      <c r="E52" s="207">
        <f t="shared" si="22"/>
        <v>0.19765624999999987</v>
      </c>
      <c r="F52" s="184">
        <f t="shared" si="22"/>
        <v>0.17710349401585726</v>
      </c>
      <c r="G52" s="184">
        <f t="shared" si="22"/>
        <v>0.1448846438420664</v>
      </c>
      <c r="H52" s="183">
        <f t="shared" si="22"/>
        <v>0.16586675808479021</v>
      </c>
      <c r="I52" s="183">
        <f t="shared" si="22"/>
        <v>0.16008439731659813</v>
      </c>
      <c r="J52" s="183">
        <f t="shared" si="22"/>
        <v>0.20238863783085861</v>
      </c>
      <c r="K52" s="182">
        <f t="shared" si="22"/>
        <v>0.17229662731202983</v>
      </c>
      <c r="L52" s="184">
        <f t="shared" si="22"/>
        <v>0.16471028971028981</v>
      </c>
    </row>
    <row r="53" spans="1:12" x14ac:dyDescent="0.25">
      <c r="A53" s="86"/>
      <c r="B53" s="206"/>
      <c r="C53" s="212"/>
      <c r="D53" s="43"/>
      <c r="E53" s="43"/>
      <c r="F53" s="205"/>
      <c r="K53" s="4"/>
      <c r="L53" s="413"/>
    </row>
    <row r="54" spans="1:12" x14ac:dyDescent="0.25">
      <c r="A54" s="82" t="s">
        <v>147</v>
      </c>
      <c r="B54" s="204"/>
      <c r="C54" s="211"/>
      <c r="D54" s="202"/>
      <c r="E54" s="202"/>
      <c r="F54" s="201"/>
      <c r="G54" s="57"/>
      <c r="H54" s="57"/>
      <c r="I54" s="57"/>
      <c r="J54" s="57"/>
      <c r="K54" s="200"/>
      <c r="L54" s="57"/>
    </row>
    <row r="55" spans="1:12" x14ac:dyDescent="0.25">
      <c r="A55" s="93" t="s">
        <v>127</v>
      </c>
      <c r="B55" s="199">
        <f>+'Segment Revenue Detail History'!B16</f>
        <v>527.6</v>
      </c>
      <c r="C55" s="441">
        <f>+'Segment Revenue Detail History'!C16</f>
        <v>548.5</v>
      </c>
      <c r="D55" s="441">
        <f>+'Segment Revenue Detail History'!D16</f>
        <v>581.4</v>
      </c>
      <c r="E55" s="441">
        <f>+'Segment Revenue Detail History'!E16</f>
        <v>660.2</v>
      </c>
      <c r="F55" s="199">
        <f>+B55+C55+D55+E55</f>
        <v>2317.6999999999998</v>
      </c>
      <c r="G55" s="199">
        <f>+'Segment Revenue Detail History'!G16</f>
        <v>643.20000000000005</v>
      </c>
      <c r="H55" s="441">
        <f>+'Segment Revenue Detail History'!H16</f>
        <v>668.1</v>
      </c>
      <c r="I55" s="441">
        <f>+'Segment Revenue Detail History'!I16</f>
        <v>653.79999999999995</v>
      </c>
      <c r="J55" s="441">
        <f>+'Segment Revenue Detail History'!J16</f>
        <v>774</v>
      </c>
      <c r="K55" s="199">
        <f>+G55+H55+I55+J55</f>
        <v>2739.1000000000004</v>
      </c>
      <c r="L55" s="199">
        <f>+'Segment Revenue Detail History'!L16</f>
        <v>691.9</v>
      </c>
    </row>
    <row r="56" spans="1:12" x14ac:dyDescent="0.25">
      <c r="A56" s="88" t="s">
        <v>13</v>
      </c>
      <c r="B56" s="190">
        <f>+'Segment Revenue Detail History'!B17</f>
        <v>1940.2000000000003</v>
      </c>
      <c r="C56" s="189">
        <f>+'Segment Revenue Detail History'!C17</f>
        <v>2057.4</v>
      </c>
      <c r="D56" s="189">
        <f>+'Segment Revenue Detail History'!D17</f>
        <v>2125.6</v>
      </c>
      <c r="E56" s="189">
        <f>+'Segment Revenue Detail History'!E17</f>
        <v>2351.1000000000004</v>
      </c>
      <c r="F56" s="190">
        <f>+B56+C56+D56+E56</f>
        <v>8474.3000000000011</v>
      </c>
      <c r="G56" s="190">
        <f>+'Segment Revenue Detail History'!G17</f>
        <v>2184.3000000000002</v>
      </c>
      <c r="H56" s="189">
        <f>+'Segment Revenue Detail History'!H17</f>
        <v>2366.9</v>
      </c>
      <c r="I56" s="189">
        <f>+'Segment Revenue Detail History'!I17</f>
        <v>2429</v>
      </c>
      <c r="J56" s="189">
        <f>+'Segment Revenue Detail History'!J17</f>
        <v>2646.1</v>
      </c>
      <c r="K56" s="190">
        <f>+G56+H56+I56+J56</f>
        <v>9626.3000000000011</v>
      </c>
      <c r="L56" s="190">
        <f>+'Segment Revenue Detail History'!L17</f>
        <v>2474</v>
      </c>
    </row>
    <row r="57" spans="1:12" x14ac:dyDescent="0.25">
      <c r="A57" s="93" t="s">
        <v>142</v>
      </c>
      <c r="B57" s="199">
        <f t="shared" ref="B57:K57" si="23">+B55+B56</f>
        <v>2467.8000000000002</v>
      </c>
      <c r="C57" s="198">
        <f t="shared" si="23"/>
        <v>2605.9</v>
      </c>
      <c r="D57" s="94">
        <f t="shared" si="23"/>
        <v>2707</v>
      </c>
      <c r="E57" s="94">
        <f t="shared" si="23"/>
        <v>3011.3</v>
      </c>
      <c r="F57" s="199">
        <f t="shared" si="23"/>
        <v>10792</v>
      </c>
      <c r="G57" s="199">
        <f t="shared" si="23"/>
        <v>2827.5</v>
      </c>
      <c r="H57" s="198">
        <f t="shared" si="23"/>
        <v>3035</v>
      </c>
      <c r="I57" s="94">
        <f t="shared" si="23"/>
        <v>3082.8</v>
      </c>
      <c r="J57" s="94">
        <f t="shared" si="23"/>
        <v>3420.1</v>
      </c>
      <c r="K57" s="199">
        <f t="shared" si="23"/>
        <v>12365.400000000001</v>
      </c>
      <c r="L57" s="199">
        <f t="shared" ref="L57" si="24">+L55+L56</f>
        <v>3165.9</v>
      </c>
    </row>
    <row r="58" spans="1:12" ht="3.75" customHeight="1" x14ac:dyDescent="0.25">
      <c r="A58" s="86"/>
      <c r="B58" s="192"/>
      <c r="C58" s="191"/>
      <c r="D58" s="52"/>
      <c r="E58" s="52"/>
      <c r="F58" s="192"/>
      <c r="G58" s="192"/>
      <c r="H58" s="191"/>
      <c r="I58" s="191"/>
      <c r="J58" s="191"/>
      <c r="K58" s="174"/>
      <c r="L58" s="192"/>
    </row>
    <row r="59" spans="1:12" x14ac:dyDescent="0.25">
      <c r="A59" s="86" t="s">
        <v>144</v>
      </c>
      <c r="B59" s="194">
        <v>2282.1</v>
      </c>
      <c r="C59" s="193">
        <v>2407.6999999999998</v>
      </c>
      <c r="D59" s="52">
        <v>2497.4</v>
      </c>
      <c r="E59" s="52">
        <v>2759.6</v>
      </c>
      <c r="F59" s="194">
        <f>+B59+C59+D59+E59</f>
        <v>9946.7999999999993</v>
      </c>
      <c r="G59" s="194">
        <v>2611.3000000000002</v>
      </c>
      <c r="H59" s="193">
        <v>2807.5</v>
      </c>
      <c r="I59" s="193">
        <v>2849.3</v>
      </c>
      <c r="J59" s="193">
        <v>3137.3</v>
      </c>
      <c r="K59" s="180">
        <f>+G59+H59+I59+J59</f>
        <v>11405.400000000001</v>
      </c>
      <c r="L59" s="194">
        <v>2938.9</v>
      </c>
    </row>
    <row r="60" spans="1:12" x14ac:dyDescent="0.25">
      <c r="A60" s="86" t="s">
        <v>141</v>
      </c>
      <c r="B60" s="194">
        <v>112.2</v>
      </c>
      <c r="C60" s="193">
        <v>116.2</v>
      </c>
      <c r="D60" s="52">
        <v>122.9</v>
      </c>
      <c r="E60" s="52">
        <v>159.9</v>
      </c>
      <c r="F60" s="194">
        <f>+B60+C60+D60+E60</f>
        <v>511.20000000000005</v>
      </c>
      <c r="G60" s="194">
        <v>133.5</v>
      </c>
      <c r="H60" s="193">
        <v>148.4</v>
      </c>
      <c r="I60" s="193">
        <v>155.4</v>
      </c>
      <c r="J60" s="193">
        <v>183.6</v>
      </c>
      <c r="K60" s="180">
        <f>+G60+H60+I60+J60</f>
        <v>620.9</v>
      </c>
      <c r="L60" s="194">
        <v>135.5</v>
      </c>
    </row>
    <row r="61" spans="1:12" x14ac:dyDescent="0.25">
      <c r="A61" s="88" t="s">
        <v>140</v>
      </c>
      <c r="B61" s="196">
        <v>33.1</v>
      </c>
      <c r="C61" s="195">
        <v>33.1</v>
      </c>
      <c r="D61" s="89">
        <v>33.799999999999997</v>
      </c>
      <c r="E61" s="89">
        <v>36.1</v>
      </c>
      <c r="F61" s="196">
        <f>+B61+C61+D61+E61</f>
        <v>136.1</v>
      </c>
      <c r="G61" s="196">
        <v>36.5</v>
      </c>
      <c r="H61" s="195">
        <v>39</v>
      </c>
      <c r="I61" s="195">
        <v>38.1</v>
      </c>
      <c r="J61" s="195">
        <v>33.700000000000003</v>
      </c>
      <c r="K61" s="188">
        <f>+G61+H61+I61+J61</f>
        <v>147.30000000000001</v>
      </c>
      <c r="L61" s="196">
        <v>29.5</v>
      </c>
    </row>
    <row r="62" spans="1:12" x14ac:dyDescent="0.25">
      <c r="A62" s="86" t="s">
        <v>3</v>
      </c>
      <c r="B62" s="192">
        <f t="shared" ref="B62:K62" si="25">SUM(B59:B61)</f>
        <v>2427.3999999999996</v>
      </c>
      <c r="C62" s="191">
        <f t="shared" si="25"/>
        <v>2556.9999999999995</v>
      </c>
      <c r="D62" s="52">
        <f t="shared" si="25"/>
        <v>2654.1000000000004</v>
      </c>
      <c r="E62" s="52">
        <f t="shared" si="25"/>
        <v>2955.6</v>
      </c>
      <c r="F62" s="192">
        <f t="shared" si="25"/>
        <v>10594.1</v>
      </c>
      <c r="G62" s="192">
        <f t="shared" si="25"/>
        <v>2781.3</v>
      </c>
      <c r="H62" s="191">
        <f t="shared" si="25"/>
        <v>2994.9</v>
      </c>
      <c r="I62" s="52">
        <f t="shared" si="25"/>
        <v>3042.8</v>
      </c>
      <c r="J62" s="52">
        <f t="shared" si="25"/>
        <v>3354.6</v>
      </c>
      <c r="K62" s="192">
        <f t="shared" si="25"/>
        <v>12173.6</v>
      </c>
      <c r="L62" s="192">
        <f t="shared" ref="L62" si="26">SUM(L59:L61)</f>
        <v>3103.9</v>
      </c>
    </row>
    <row r="63" spans="1:12" ht="2.25" customHeight="1" x14ac:dyDescent="0.25">
      <c r="A63" s="86"/>
      <c r="B63" s="192"/>
      <c r="C63" s="191"/>
      <c r="D63" s="52"/>
      <c r="E63" s="52"/>
      <c r="F63" s="192"/>
      <c r="G63" s="192"/>
      <c r="H63" s="191"/>
      <c r="I63" s="191"/>
      <c r="J63" s="191"/>
      <c r="K63" s="174"/>
      <c r="L63" s="192"/>
    </row>
    <row r="64" spans="1:12" hidden="1" x14ac:dyDescent="0.25">
      <c r="A64" s="86" t="s">
        <v>4</v>
      </c>
      <c r="B64" s="194">
        <v>0</v>
      </c>
      <c r="C64" s="193">
        <v>0</v>
      </c>
      <c r="D64" s="52">
        <v>0</v>
      </c>
      <c r="E64" s="52">
        <v>0</v>
      </c>
      <c r="F64" s="194">
        <v>0</v>
      </c>
      <c r="G64" s="194">
        <v>0</v>
      </c>
      <c r="H64" s="193">
        <v>0</v>
      </c>
      <c r="I64" s="193">
        <v>0</v>
      </c>
      <c r="J64" s="193">
        <f>+'Segment Results'!E19</f>
        <v>0</v>
      </c>
      <c r="K64" s="180">
        <f t="shared" ref="K64:K71" si="27">+G64+H64+I64+J64</f>
        <v>0</v>
      </c>
      <c r="L64" s="194">
        <v>0</v>
      </c>
    </row>
    <row r="65" spans="1:12" ht="5.25" hidden="1" customHeight="1" x14ac:dyDescent="0.25">
      <c r="A65" s="86"/>
      <c r="B65" s="192">
        <v>0</v>
      </c>
      <c r="C65" s="191">
        <v>0</v>
      </c>
      <c r="D65" s="52">
        <v>0</v>
      </c>
      <c r="E65" s="52">
        <v>0</v>
      </c>
      <c r="F65" s="192">
        <v>0</v>
      </c>
      <c r="G65" s="192">
        <v>0</v>
      </c>
      <c r="H65" s="191">
        <v>0</v>
      </c>
      <c r="I65" s="191">
        <v>0</v>
      </c>
      <c r="J65" s="191"/>
      <c r="K65" s="180">
        <f t="shared" si="27"/>
        <v>0</v>
      </c>
      <c r="L65" s="192">
        <v>0</v>
      </c>
    </row>
    <row r="66" spans="1:12" x14ac:dyDescent="0.25">
      <c r="A66" s="86" t="s">
        <v>5</v>
      </c>
      <c r="B66" s="192">
        <f t="shared" ref="B66:K66" si="28">+B57-B62</f>
        <v>40.400000000000546</v>
      </c>
      <c r="C66" s="191">
        <f t="shared" si="28"/>
        <v>48.900000000000546</v>
      </c>
      <c r="D66" s="52">
        <f t="shared" si="28"/>
        <v>52.899999999999636</v>
      </c>
      <c r="E66" s="52">
        <f t="shared" si="28"/>
        <v>55.700000000000273</v>
      </c>
      <c r="F66" s="192">
        <f t="shared" si="28"/>
        <v>197.89999999999964</v>
      </c>
      <c r="G66" s="192">
        <f t="shared" si="28"/>
        <v>46.199999999999818</v>
      </c>
      <c r="H66" s="191">
        <f t="shared" si="28"/>
        <v>40.099999999999909</v>
      </c>
      <c r="I66" s="52">
        <f t="shared" si="28"/>
        <v>40</v>
      </c>
      <c r="J66" s="52">
        <f t="shared" si="28"/>
        <v>65.5</v>
      </c>
      <c r="K66" s="192">
        <f t="shared" si="28"/>
        <v>191.80000000000109</v>
      </c>
      <c r="L66" s="192">
        <f t="shared" ref="L66" si="29">+L57-L62</f>
        <v>62</v>
      </c>
    </row>
    <row r="67" spans="1:12" ht="3.75" customHeight="1" x14ac:dyDescent="0.25">
      <c r="A67" s="86"/>
      <c r="B67" s="192">
        <v>0</v>
      </c>
      <c r="C67" s="191">
        <v>0</v>
      </c>
      <c r="D67" s="52">
        <v>0</v>
      </c>
      <c r="E67" s="52">
        <v>0</v>
      </c>
      <c r="F67" s="192">
        <v>0</v>
      </c>
      <c r="G67" s="192">
        <v>0</v>
      </c>
      <c r="H67" s="191">
        <v>0</v>
      </c>
      <c r="I67" s="191">
        <v>0</v>
      </c>
      <c r="J67" s="191"/>
      <c r="K67" s="180">
        <f t="shared" si="27"/>
        <v>0</v>
      </c>
      <c r="L67" s="192">
        <v>0</v>
      </c>
    </row>
    <row r="68" spans="1:12" x14ac:dyDescent="0.25">
      <c r="A68" s="86" t="s">
        <v>150</v>
      </c>
      <c r="B68" s="194">
        <v>0</v>
      </c>
      <c r="C68" s="193">
        <v>0</v>
      </c>
      <c r="D68" s="52">
        <v>0</v>
      </c>
      <c r="E68" s="52">
        <v>0</v>
      </c>
      <c r="F68" s="194">
        <v>0</v>
      </c>
      <c r="G68" s="194">
        <v>0</v>
      </c>
      <c r="H68" s="193">
        <v>0</v>
      </c>
      <c r="I68" s="193">
        <v>0.1</v>
      </c>
      <c r="J68" s="193">
        <v>0</v>
      </c>
      <c r="K68" s="180">
        <f t="shared" si="27"/>
        <v>0.1</v>
      </c>
      <c r="L68" s="194">
        <v>-0.8</v>
      </c>
    </row>
    <row r="69" spans="1:12" x14ac:dyDescent="0.25">
      <c r="A69" s="86" t="s">
        <v>138</v>
      </c>
      <c r="B69" s="194">
        <v>0</v>
      </c>
      <c r="C69" s="193">
        <v>0</v>
      </c>
      <c r="D69" s="52">
        <v>0</v>
      </c>
      <c r="E69" s="52">
        <v>0</v>
      </c>
      <c r="F69" s="194">
        <f>+B69+C69+D69+E69</f>
        <v>0</v>
      </c>
      <c r="G69" s="194">
        <v>0</v>
      </c>
      <c r="H69" s="193">
        <v>0.1</v>
      </c>
      <c r="I69" s="193">
        <v>-0.1</v>
      </c>
      <c r="J69" s="193">
        <f>+'Segment Results'!E24</f>
        <v>0</v>
      </c>
      <c r="K69" s="180">
        <f t="shared" si="27"/>
        <v>0</v>
      </c>
      <c r="L69" s="194">
        <v>0</v>
      </c>
    </row>
    <row r="70" spans="1:12" ht="28.5" x14ac:dyDescent="0.25">
      <c r="A70" s="86" t="s">
        <v>235</v>
      </c>
      <c r="B70" s="448">
        <v>0</v>
      </c>
      <c r="C70" s="449">
        <v>-0.2</v>
      </c>
      <c r="D70" s="97">
        <v>0.06</v>
      </c>
      <c r="E70" s="97">
        <v>-0.3</v>
      </c>
      <c r="F70" s="448">
        <f>+B70+C70+D70+E70</f>
        <v>-0.44</v>
      </c>
      <c r="G70" s="448">
        <v>0</v>
      </c>
      <c r="H70" s="449">
        <v>0.1</v>
      </c>
      <c r="I70" s="449">
        <v>-0.3</v>
      </c>
      <c r="J70" s="449">
        <v>0.4</v>
      </c>
      <c r="K70" s="450">
        <f t="shared" si="27"/>
        <v>0.20000000000000004</v>
      </c>
      <c r="L70" s="448">
        <v>-0.1</v>
      </c>
    </row>
    <row r="71" spans="1:12" ht="5.25" customHeight="1" x14ac:dyDescent="0.25">
      <c r="A71" s="86"/>
      <c r="B71" s="194"/>
      <c r="C71" s="193"/>
      <c r="D71" s="52"/>
      <c r="E71" s="52"/>
      <c r="F71" s="194"/>
      <c r="G71" s="194"/>
      <c r="H71" s="193"/>
      <c r="I71" s="193"/>
      <c r="J71" s="193"/>
      <c r="K71" s="180">
        <f t="shared" si="27"/>
        <v>0</v>
      </c>
      <c r="L71" s="194"/>
    </row>
    <row r="72" spans="1:12" x14ac:dyDescent="0.25">
      <c r="A72" s="88" t="s">
        <v>136</v>
      </c>
      <c r="B72" s="190">
        <f>+B61</f>
        <v>33.1</v>
      </c>
      <c r="C72" s="189">
        <f>+C61</f>
        <v>33.1</v>
      </c>
      <c r="D72" s="89">
        <f>+D61</f>
        <v>33.799999999999997</v>
      </c>
      <c r="E72" s="89">
        <f>+E61</f>
        <v>36.1</v>
      </c>
      <c r="F72" s="190">
        <f>+B72+C72+D72+E72</f>
        <v>136.1</v>
      </c>
      <c r="G72" s="190">
        <f>+G61</f>
        <v>36.5</v>
      </c>
      <c r="H72" s="189">
        <f>+H61</f>
        <v>39</v>
      </c>
      <c r="I72" s="89">
        <f>+I61</f>
        <v>38.1</v>
      </c>
      <c r="J72" s="89">
        <f>+J61</f>
        <v>33.700000000000003</v>
      </c>
      <c r="K72" s="190">
        <f>+G72+H72+I72+J72</f>
        <v>147.30000000000001</v>
      </c>
      <c r="L72" s="190">
        <f>+L61</f>
        <v>29.5</v>
      </c>
    </row>
    <row r="73" spans="1:12" x14ac:dyDescent="0.25">
      <c r="A73" s="93" t="s">
        <v>7</v>
      </c>
      <c r="B73" s="199">
        <f>+B66+B68+B69-B70+B72</f>
        <v>73.50000000000054</v>
      </c>
      <c r="C73" s="441">
        <f>+C66+C68+C69-C70+C72</f>
        <v>82.200000000000557</v>
      </c>
      <c r="D73" s="441">
        <f>+D66+D68+D69-D70+D72</f>
        <v>86.639999999999631</v>
      </c>
      <c r="E73" s="441">
        <f>+E66+E68+E69-E70+E72</f>
        <v>92.100000000000279</v>
      </c>
      <c r="F73" s="199">
        <f>+B73+C73+D73+E73</f>
        <v>334.44000000000096</v>
      </c>
      <c r="G73" s="199">
        <f>+G66+G68+G69-G70+G72</f>
        <v>82.699999999999818</v>
      </c>
      <c r="H73" s="441">
        <f>+H66+H68+H69-H70+H72</f>
        <v>79.099999999999909</v>
      </c>
      <c r="I73" s="441">
        <f>+I66+I68+I69-I70+I72</f>
        <v>78.400000000000006</v>
      </c>
      <c r="J73" s="441">
        <f>+J66+J68+J69-J70+J72</f>
        <v>98.8</v>
      </c>
      <c r="K73" s="199">
        <f>+G73+H73+I73+J73</f>
        <v>338.99999999999972</v>
      </c>
      <c r="L73" s="199">
        <f>+L66+L68+L69-L70+L72</f>
        <v>90.800000000000011</v>
      </c>
    </row>
    <row r="74" spans="1:12" x14ac:dyDescent="0.25">
      <c r="A74" s="86" t="s">
        <v>135</v>
      </c>
      <c r="B74" s="50">
        <v>0</v>
      </c>
      <c r="C74" s="51">
        <v>0</v>
      </c>
      <c r="D74" s="51">
        <v>0</v>
      </c>
      <c r="E74" s="51">
        <v>0</v>
      </c>
      <c r="F74" s="174">
        <f>+B74+C74+D74+E74</f>
        <v>0</v>
      </c>
      <c r="G74" s="51">
        <v>0</v>
      </c>
      <c r="H74" s="51">
        <v>0</v>
      </c>
      <c r="I74" s="51">
        <f>82.8-I73</f>
        <v>4.3999999999999915</v>
      </c>
      <c r="J74" s="51">
        <f>100.9-J73</f>
        <v>2.1000000000000085</v>
      </c>
      <c r="K74" s="174">
        <f>+G74+H74+I74+J74</f>
        <v>6.5</v>
      </c>
      <c r="L74" s="51">
        <v>8.9</v>
      </c>
    </row>
    <row r="75" spans="1:12" x14ac:dyDescent="0.25">
      <c r="A75" s="93" t="s">
        <v>8</v>
      </c>
      <c r="B75" s="199">
        <f t="shared" ref="B75:L75" si="30">+B73+B74</f>
        <v>73.50000000000054</v>
      </c>
      <c r="C75" s="198">
        <f t="shared" si="30"/>
        <v>82.200000000000557</v>
      </c>
      <c r="D75" s="94">
        <f t="shared" si="30"/>
        <v>86.639999999999631</v>
      </c>
      <c r="E75" s="94">
        <f t="shared" si="30"/>
        <v>92.100000000000279</v>
      </c>
      <c r="F75" s="199">
        <f t="shared" si="30"/>
        <v>334.44000000000096</v>
      </c>
      <c r="G75" s="199">
        <f t="shared" si="30"/>
        <v>82.699999999999818</v>
      </c>
      <c r="H75" s="198">
        <f t="shared" si="30"/>
        <v>79.099999999999909</v>
      </c>
      <c r="I75" s="94">
        <f t="shared" si="30"/>
        <v>82.8</v>
      </c>
      <c r="J75" s="94">
        <f t="shared" si="30"/>
        <v>100.9</v>
      </c>
      <c r="K75" s="199">
        <f t="shared" si="30"/>
        <v>345.49999999999972</v>
      </c>
      <c r="L75" s="199">
        <f t="shared" si="30"/>
        <v>99.700000000000017</v>
      </c>
    </row>
    <row r="76" spans="1:12" x14ac:dyDescent="0.25">
      <c r="A76" s="86" t="s">
        <v>134</v>
      </c>
      <c r="B76" s="184">
        <f t="shared" ref="B76:L76" si="31">+B75/B55</f>
        <v>0.13931008339651352</v>
      </c>
      <c r="C76" s="183">
        <f t="shared" si="31"/>
        <v>0.14986326344576217</v>
      </c>
      <c r="D76" s="207">
        <f t="shared" si="31"/>
        <v>0.14901960784313661</v>
      </c>
      <c r="E76" s="207">
        <f t="shared" si="31"/>
        <v>0.13950318085428698</v>
      </c>
      <c r="F76" s="184">
        <f t="shared" si="31"/>
        <v>0.14429822669025369</v>
      </c>
      <c r="G76" s="184">
        <f t="shared" si="31"/>
        <v>0.12857587064676587</v>
      </c>
      <c r="H76" s="183">
        <f t="shared" si="31"/>
        <v>0.11839544978296648</v>
      </c>
      <c r="I76" s="207">
        <f t="shared" si="31"/>
        <v>0.12664423371061487</v>
      </c>
      <c r="J76" s="207">
        <f t="shared" si="31"/>
        <v>0.13036175710594317</v>
      </c>
      <c r="K76" s="184">
        <f t="shared" si="31"/>
        <v>0.12613632214961107</v>
      </c>
      <c r="L76" s="184">
        <f t="shared" si="31"/>
        <v>0.14409596762537941</v>
      </c>
    </row>
    <row r="77" spans="1:12" x14ac:dyDescent="0.25">
      <c r="A77" s="86"/>
      <c r="B77" s="206"/>
      <c r="C77" s="103"/>
      <c r="D77" s="43"/>
      <c r="E77" s="43"/>
      <c r="F77" s="205"/>
      <c r="K77" s="4"/>
      <c r="L77" s="413"/>
    </row>
    <row r="78" spans="1:12" x14ac:dyDescent="0.25">
      <c r="A78" s="82" t="s">
        <v>148</v>
      </c>
      <c r="B78" s="204"/>
      <c r="C78" s="203"/>
      <c r="D78" s="202"/>
      <c r="E78" s="202"/>
      <c r="F78" s="201"/>
      <c r="G78" s="57"/>
      <c r="H78" s="57"/>
      <c r="I78" s="57"/>
      <c r="J78" s="57"/>
      <c r="K78" s="200"/>
      <c r="L78" s="57"/>
    </row>
    <row r="79" spans="1:12" x14ac:dyDescent="0.25">
      <c r="A79" s="93" t="s">
        <v>142</v>
      </c>
      <c r="B79" s="199">
        <f>+'Segment Revenue Detail History'!B25</f>
        <v>103.8</v>
      </c>
      <c r="C79" s="198">
        <f>+'Segment Revenue Detail History'!C25</f>
        <v>109.7</v>
      </c>
      <c r="D79" s="94">
        <f>+'Segment Revenue Detail History'!D25</f>
        <v>108.24000000000001</v>
      </c>
      <c r="E79" s="94">
        <f>+'Segment Revenue Detail History'!E25</f>
        <v>135.35999999999999</v>
      </c>
      <c r="F79" s="199">
        <f>+B79+C79+D79+E79</f>
        <v>457.1</v>
      </c>
      <c r="G79" s="199">
        <f>+'Segment Revenue Detail History'!G25</f>
        <v>147</v>
      </c>
      <c r="H79" s="198">
        <f>+'Segment Revenue Detail History'!H25</f>
        <v>117.30000000000001</v>
      </c>
      <c r="I79" s="94">
        <f>+'Segment Revenue Detail History'!I25</f>
        <v>118.89999999999999</v>
      </c>
      <c r="J79" s="94">
        <f>+'Segment Revenue Detail History'!J25</f>
        <v>151.5</v>
      </c>
      <c r="K79" s="199">
        <f>+G79+H79+I79+J79</f>
        <v>534.70000000000005</v>
      </c>
      <c r="L79" s="199">
        <f>+'Segment Revenue Detail History'!L25</f>
        <v>135.19999999999999</v>
      </c>
    </row>
    <row r="80" spans="1:12" ht="3.75" customHeight="1" x14ac:dyDescent="0.25">
      <c r="A80" s="86"/>
      <c r="B80" s="192"/>
      <c r="C80" s="191"/>
      <c r="D80" s="52"/>
      <c r="E80" s="52"/>
      <c r="F80" s="192"/>
      <c r="G80" s="192"/>
      <c r="H80" s="191"/>
      <c r="I80" s="191"/>
      <c r="J80" s="191"/>
      <c r="K80" s="174"/>
      <c r="L80" s="192"/>
    </row>
    <row r="81" spans="1:12" x14ac:dyDescent="0.25">
      <c r="A81" s="86" t="s">
        <v>144</v>
      </c>
      <c r="B81" s="194">
        <v>0</v>
      </c>
      <c r="C81" s="193">
        <v>0</v>
      </c>
      <c r="D81" s="52">
        <v>0</v>
      </c>
      <c r="E81" s="52">
        <v>0</v>
      </c>
      <c r="F81" s="194">
        <v>0</v>
      </c>
      <c r="G81" s="194">
        <v>0</v>
      </c>
      <c r="H81" s="193">
        <v>0</v>
      </c>
      <c r="I81" s="193">
        <v>0</v>
      </c>
      <c r="J81" s="193">
        <f>+'Segment Results'!G13</f>
        <v>0</v>
      </c>
      <c r="K81" s="180">
        <f>+G81+H81+I81+J81</f>
        <v>0</v>
      </c>
      <c r="L81" s="194">
        <v>0</v>
      </c>
    </row>
    <row r="82" spans="1:12" x14ac:dyDescent="0.25">
      <c r="A82" s="86" t="s">
        <v>141</v>
      </c>
      <c r="B82" s="194">
        <v>74</v>
      </c>
      <c r="C82" s="193">
        <v>120.8</v>
      </c>
      <c r="D82" s="52">
        <v>125.1</v>
      </c>
      <c r="E82" s="52">
        <v>133.6</v>
      </c>
      <c r="F82" s="194">
        <f>+B82+C82+D82+E82</f>
        <v>453.5</v>
      </c>
      <c r="G82" s="194">
        <v>116.9</v>
      </c>
      <c r="H82" s="193">
        <v>150.80000000000001</v>
      </c>
      <c r="I82" s="193">
        <v>162.19999999999999</v>
      </c>
      <c r="J82" s="193">
        <v>154</v>
      </c>
      <c r="K82" s="180">
        <f>+G82+H82+I82+J82</f>
        <v>583.90000000000009</v>
      </c>
      <c r="L82" s="194">
        <v>160.69999999999999</v>
      </c>
    </row>
    <row r="83" spans="1:12" x14ac:dyDescent="0.25">
      <c r="A83" s="435" t="s">
        <v>140</v>
      </c>
      <c r="B83" s="194">
        <v>5.6</v>
      </c>
      <c r="C83" s="453">
        <v>5.4</v>
      </c>
      <c r="D83" s="437">
        <v>6.6</v>
      </c>
      <c r="E83" s="437">
        <v>8.6</v>
      </c>
      <c r="F83" s="192">
        <f>+B83+C83+D83+E83</f>
        <v>26.200000000000003</v>
      </c>
      <c r="G83" s="194">
        <v>6.7</v>
      </c>
      <c r="H83" s="453">
        <v>7.4</v>
      </c>
      <c r="I83" s="453">
        <v>3.7</v>
      </c>
      <c r="J83" s="453">
        <v>6</v>
      </c>
      <c r="K83" s="181">
        <f>+G83+H83+I83+J83</f>
        <v>23.8</v>
      </c>
      <c r="L83" s="194">
        <v>4.7</v>
      </c>
    </row>
    <row r="84" spans="1:12" s="413" customFormat="1" x14ac:dyDescent="0.25">
      <c r="A84" s="88" t="s">
        <v>211</v>
      </c>
      <c r="B84" s="196">
        <v>0</v>
      </c>
      <c r="C84" s="195">
        <v>0</v>
      </c>
      <c r="D84" s="89">
        <v>0</v>
      </c>
      <c r="E84" s="89">
        <v>0</v>
      </c>
      <c r="F84" s="190">
        <v>0</v>
      </c>
      <c r="G84" s="196">
        <v>0</v>
      </c>
      <c r="H84" s="195">
        <v>0</v>
      </c>
      <c r="I84" s="195">
        <v>0</v>
      </c>
      <c r="J84" s="195">
        <v>0</v>
      </c>
      <c r="K84" s="210">
        <v>0</v>
      </c>
      <c r="L84" s="196">
        <v>89</v>
      </c>
    </row>
    <row r="85" spans="1:12" x14ac:dyDescent="0.25">
      <c r="A85" s="86" t="s">
        <v>3</v>
      </c>
      <c r="B85" s="192">
        <f>SUM(B81:B84)</f>
        <v>79.599999999999994</v>
      </c>
      <c r="C85" s="191">
        <f>SUM(C81:C84)</f>
        <v>126.2</v>
      </c>
      <c r="D85" s="52">
        <f>SUM(D81:D84)</f>
        <v>131.69999999999999</v>
      </c>
      <c r="E85" s="52">
        <f>SUM(E81:E84)</f>
        <v>142.19999999999999</v>
      </c>
      <c r="F85" s="192">
        <f>SUM(F81:F83)</f>
        <v>479.7</v>
      </c>
      <c r="G85" s="192">
        <f>SUM(G81:G84)</f>
        <v>123.60000000000001</v>
      </c>
      <c r="H85" s="191">
        <f>SUM(H81:H84)</f>
        <v>158.20000000000002</v>
      </c>
      <c r="I85" s="52">
        <f>SUM(I81:I84)</f>
        <v>165.89999999999998</v>
      </c>
      <c r="J85" s="52">
        <f>SUM(J81:J83)</f>
        <v>160</v>
      </c>
      <c r="K85" s="192">
        <f>SUM(K81:K83)</f>
        <v>607.70000000000005</v>
      </c>
      <c r="L85" s="192">
        <f>SUM(L81:L84)</f>
        <v>254.39999999999998</v>
      </c>
    </row>
    <row r="86" spans="1:12" ht="3.75" customHeight="1" x14ac:dyDescent="0.25">
      <c r="A86" s="86"/>
      <c r="B86" s="192"/>
      <c r="C86" s="191"/>
      <c r="D86" s="52"/>
      <c r="E86" s="52"/>
      <c r="F86" s="192"/>
      <c r="G86" s="192"/>
      <c r="H86" s="191"/>
      <c r="I86" s="191"/>
      <c r="J86" s="191"/>
      <c r="K86" s="174"/>
      <c r="L86" s="192"/>
    </row>
    <row r="87" spans="1:12" x14ac:dyDescent="0.25">
      <c r="A87" s="86" t="s">
        <v>4</v>
      </c>
      <c r="B87" s="194">
        <v>1.4</v>
      </c>
      <c r="C87" s="193">
        <v>11.3</v>
      </c>
      <c r="D87" s="52">
        <v>6.2</v>
      </c>
      <c r="E87" s="52">
        <v>0.9</v>
      </c>
      <c r="F87" s="194">
        <f>+B87+C87+D87+E87</f>
        <v>19.8</v>
      </c>
      <c r="G87" s="194">
        <v>0</v>
      </c>
      <c r="H87" s="193">
        <v>12.3</v>
      </c>
      <c r="I87" s="193">
        <v>0.2</v>
      </c>
      <c r="J87" s="193">
        <v>2.2999999999999998</v>
      </c>
      <c r="K87" s="180">
        <f t="shared" ref="K87:K94" si="32">+G87+H87+I87+J87</f>
        <v>14.8</v>
      </c>
      <c r="L87" s="194">
        <v>19.2</v>
      </c>
    </row>
    <row r="88" spans="1:12" ht="3.75" customHeight="1" x14ac:dyDescent="0.25">
      <c r="A88" s="86"/>
      <c r="B88" s="192">
        <v>0</v>
      </c>
      <c r="C88" s="191">
        <v>0</v>
      </c>
      <c r="D88" s="52">
        <v>0</v>
      </c>
      <c r="E88" s="52">
        <v>0</v>
      </c>
      <c r="F88" s="192">
        <v>0</v>
      </c>
      <c r="G88" s="192">
        <v>0</v>
      </c>
      <c r="H88" s="191">
        <v>0</v>
      </c>
      <c r="I88" s="191">
        <v>0</v>
      </c>
      <c r="J88" s="191"/>
      <c r="K88" s="180">
        <f t="shared" si="32"/>
        <v>0</v>
      </c>
      <c r="L88" s="192">
        <v>0</v>
      </c>
    </row>
    <row r="89" spans="1:12" x14ac:dyDescent="0.25">
      <c r="A89" s="86" t="s">
        <v>143</v>
      </c>
      <c r="B89" s="192">
        <f>+B79-B85+B87</f>
        <v>25.6</v>
      </c>
      <c r="C89" s="191">
        <f>+C79-C85+C87</f>
        <v>-5.1999999999999993</v>
      </c>
      <c r="D89" s="52">
        <f>+D79-D85+D87</f>
        <v>-17.25999999999998</v>
      </c>
      <c r="E89" s="52">
        <f>+E79-E85+E87</f>
        <v>-5.9400000000000031</v>
      </c>
      <c r="F89" s="194">
        <f t="shared" ref="F89:F93" si="33">+B89+C89+D89+E89</f>
        <v>-2.7999999999999812</v>
      </c>
      <c r="G89" s="192">
        <f>+G79-G85+G87</f>
        <v>23.399999999999991</v>
      </c>
      <c r="H89" s="191">
        <f>+H79-H85+H87</f>
        <v>-28.600000000000005</v>
      </c>
      <c r="I89" s="52">
        <f>+I79-I85+I87</f>
        <v>-46.799999999999983</v>
      </c>
      <c r="J89" s="52">
        <f>+J79-J85+J87</f>
        <v>-6.2</v>
      </c>
      <c r="K89" s="194">
        <f t="shared" si="32"/>
        <v>-58.2</v>
      </c>
      <c r="L89" s="192">
        <f>+L79-L85+L87</f>
        <v>-99.999999999999986</v>
      </c>
    </row>
    <row r="90" spans="1:12" ht="3.75" customHeight="1" x14ac:dyDescent="0.25">
      <c r="A90" s="86"/>
      <c r="B90" s="192">
        <v>0</v>
      </c>
      <c r="C90" s="191">
        <v>0</v>
      </c>
      <c r="D90" s="52">
        <v>0</v>
      </c>
      <c r="E90" s="52">
        <v>0</v>
      </c>
      <c r="F90" s="194">
        <f t="shared" si="33"/>
        <v>0</v>
      </c>
      <c r="G90" s="192">
        <v>0</v>
      </c>
      <c r="H90" s="191">
        <v>0</v>
      </c>
      <c r="I90" s="191">
        <v>0</v>
      </c>
      <c r="J90" s="191"/>
      <c r="K90" s="180">
        <f t="shared" si="32"/>
        <v>0</v>
      </c>
      <c r="L90" s="192">
        <v>0</v>
      </c>
    </row>
    <row r="91" spans="1:12" x14ac:dyDescent="0.25">
      <c r="A91" s="86" t="s">
        <v>139</v>
      </c>
      <c r="B91" s="194">
        <v>9.8000000000000007</v>
      </c>
      <c r="C91" s="193">
        <v>69.900000000000006</v>
      </c>
      <c r="D91" s="52">
        <v>64</v>
      </c>
      <c r="E91" s="52">
        <v>45.8</v>
      </c>
      <c r="F91" s="194">
        <f t="shared" si="33"/>
        <v>189.5</v>
      </c>
      <c r="G91" s="194">
        <v>35.799999999999997</v>
      </c>
      <c r="H91" s="193">
        <v>88.2</v>
      </c>
      <c r="I91" s="193">
        <v>123.2</v>
      </c>
      <c r="J91" s="193">
        <v>61.3</v>
      </c>
      <c r="K91" s="180">
        <f t="shared" si="32"/>
        <v>308.5</v>
      </c>
      <c r="L91" s="194">
        <v>72.8</v>
      </c>
    </row>
    <row r="92" spans="1:12" x14ac:dyDescent="0.25">
      <c r="A92" s="86" t="s">
        <v>138</v>
      </c>
      <c r="B92" s="194">
        <v>3.7</v>
      </c>
      <c r="C92" s="193">
        <v>2.5</v>
      </c>
      <c r="D92" s="52">
        <v>1.4</v>
      </c>
      <c r="E92" s="52">
        <v>1.8</v>
      </c>
      <c r="F92" s="194">
        <f t="shared" si="33"/>
        <v>9.4</v>
      </c>
      <c r="G92" s="194">
        <v>-6.1</v>
      </c>
      <c r="H92" s="193">
        <v>2.9</v>
      </c>
      <c r="I92" s="193">
        <v>-0.1</v>
      </c>
      <c r="J92" s="193">
        <v>-7.4</v>
      </c>
      <c r="K92" s="180">
        <f t="shared" si="32"/>
        <v>-10.7</v>
      </c>
      <c r="L92" s="194">
        <v>19.2</v>
      </c>
    </row>
    <row r="93" spans="1:12" ht="28.5" x14ac:dyDescent="0.25">
      <c r="A93" s="86" t="s">
        <v>137</v>
      </c>
      <c r="B93" s="448">
        <v>1.6</v>
      </c>
      <c r="C93" s="449">
        <v>1.7</v>
      </c>
      <c r="D93" s="97">
        <v>1</v>
      </c>
      <c r="E93" s="97">
        <v>2.1</v>
      </c>
      <c r="F93" s="448">
        <f t="shared" si="33"/>
        <v>6.4</v>
      </c>
      <c r="G93" s="448">
        <v>0.1</v>
      </c>
      <c r="H93" s="449">
        <v>1.5</v>
      </c>
      <c r="I93" s="449">
        <v>1.2</v>
      </c>
      <c r="J93" s="449">
        <v>-0.3</v>
      </c>
      <c r="K93" s="450">
        <f t="shared" si="32"/>
        <v>2.5</v>
      </c>
      <c r="L93" s="448">
        <v>6.7</v>
      </c>
    </row>
    <row r="94" spans="1:12" ht="3" customHeight="1" x14ac:dyDescent="0.25">
      <c r="A94" s="86"/>
      <c r="B94" s="192"/>
      <c r="C94" s="191"/>
      <c r="D94" s="52"/>
      <c r="E94" s="52"/>
      <c r="F94" s="192"/>
      <c r="G94" s="192"/>
      <c r="H94" s="191"/>
      <c r="I94" s="191"/>
      <c r="J94" s="191"/>
      <c r="K94" s="180">
        <f t="shared" si="32"/>
        <v>0</v>
      </c>
      <c r="L94" s="192"/>
    </row>
    <row r="95" spans="1:12" x14ac:dyDescent="0.25">
      <c r="A95" s="435" t="s">
        <v>136</v>
      </c>
      <c r="B95" s="192">
        <f>+B83</f>
        <v>5.6</v>
      </c>
      <c r="C95" s="416">
        <f>+C83</f>
        <v>5.4</v>
      </c>
      <c r="D95" s="437">
        <f>+D83</f>
        <v>6.6</v>
      </c>
      <c r="E95" s="437">
        <f>+E83</f>
        <v>8.6</v>
      </c>
      <c r="F95" s="197">
        <f>+B95+C95+D95+E95</f>
        <v>26.200000000000003</v>
      </c>
      <c r="G95" s="192">
        <f>+G83</f>
        <v>6.7</v>
      </c>
      <c r="H95" s="416">
        <f>+H83</f>
        <v>7.4</v>
      </c>
      <c r="I95" s="437">
        <f>+I83</f>
        <v>3.7</v>
      </c>
      <c r="J95" s="437">
        <f>+J83</f>
        <v>6</v>
      </c>
      <c r="K95" s="197">
        <f>+G95+H95+I95+J95</f>
        <v>23.8</v>
      </c>
      <c r="L95" s="192">
        <f>+L83</f>
        <v>4.7</v>
      </c>
    </row>
    <row r="96" spans="1:12" s="413" customFormat="1" x14ac:dyDescent="0.25">
      <c r="A96" s="88" t="s">
        <v>215</v>
      </c>
      <c r="B96" s="190">
        <v>0</v>
      </c>
      <c r="C96" s="189">
        <v>0</v>
      </c>
      <c r="D96" s="89">
        <v>0</v>
      </c>
      <c r="E96" s="89">
        <v>0</v>
      </c>
      <c r="F96" s="190">
        <v>0</v>
      </c>
      <c r="G96" s="190">
        <v>0</v>
      </c>
      <c r="H96" s="189">
        <v>0</v>
      </c>
      <c r="I96" s="89">
        <v>0</v>
      </c>
      <c r="J96" s="89">
        <v>0</v>
      </c>
      <c r="K96" s="190">
        <v>0</v>
      </c>
      <c r="L96" s="190">
        <f>+L84</f>
        <v>89</v>
      </c>
    </row>
    <row r="97" spans="1:12" x14ac:dyDescent="0.25">
      <c r="A97" s="93" t="s">
        <v>7</v>
      </c>
      <c r="B97" s="199">
        <f>+B89+B91+B92-B93+B95</f>
        <v>43.100000000000009</v>
      </c>
      <c r="C97" s="441">
        <f>+C89+C91+C92-C93+C95</f>
        <v>70.900000000000006</v>
      </c>
      <c r="D97" s="441">
        <f>+D89+D91+D92-D93+D95</f>
        <v>53.740000000000023</v>
      </c>
      <c r="E97" s="441">
        <f>+E89+E91+E92-E93+E95</f>
        <v>48.159999999999989</v>
      </c>
      <c r="F97" s="199">
        <f>+B97+C97+D97+E97</f>
        <v>215.90000000000003</v>
      </c>
      <c r="G97" s="199">
        <f>+G89+G91+G92-G93+G95</f>
        <v>59.699999999999989</v>
      </c>
      <c r="H97" s="441">
        <f>+H89+H91+H92-H93+H95</f>
        <v>68.399999999999991</v>
      </c>
      <c r="I97" s="441">
        <f>+I89+I91+I92-I93+I95</f>
        <v>78.800000000000026</v>
      </c>
      <c r="J97" s="441">
        <f>+J89+J91+J92-J93+J95</f>
        <v>53.999999999999993</v>
      </c>
      <c r="K97" s="199">
        <f>+G97+H97+I97+J97</f>
        <v>260.89999999999998</v>
      </c>
      <c r="L97" s="199">
        <f>+L89+L91+L92-L93+L95+L96</f>
        <v>79.000000000000014</v>
      </c>
    </row>
    <row r="98" spans="1:12" x14ac:dyDescent="0.25">
      <c r="A98" s="86" t="s">
        <v>135</v>
      </c>
      <c r="B98" s="50">
        <f>27.9-43.1</f>
        <v>-15.200000000000003</v>
      </c>
      <c r="C98" s="51">
        <f>68.1-C97</f>
        <v>-2.8000000000000114</v>
      </c>
      <c r="D98" s="51">
        <f>58.9-D97</f>
        <v>5.1599999999999753</v>
      </c>
      <c r="E98" s="51">
        <f>52.5-E97</f>
        <v>4.3400000000000105</v>
      </c>
      <c r="F98" s="174">
        <f>+B98+C98+D98+E98</f>
        <v>-8.5000000000000284</v>
      </c>
      <c r="G98" s="51">
        <f>49.6-G97+0.1</f>
        <v>-9.9999999999999876</v>
      </c>
      <c r="H98" s="51">
        <f>69.9-H97</f>
        <v>1.5000000000000142</v>
      </c>
      <c r="I98" s="51">
        <f>84.7-I97</f>
        <v>5.8999999999999773</v>
      </c>
      <c r="J98" s="51">
        <f>52.1-J97</f>
        <v>-1.8999999999999915</v>
      </c>
      <c r="K98" s="174">
        <f>+G98+H98+I98+J98</f>
        <v>-4.4999999999999876</v>
      </c>
      <c r="L98" s="51">
        <v>7.5</v>
      </c>
    </row>
    <row r="99" spans="1:12" x14ac:dyDescent="0.25">
      <c r="A99" s="93" t="s">
        <v>8</v>
      </c>
      <c r="B99" s="199">
        <f t="shared" ref="B99:L99" si="34">+B97+B98</f>
        <v>27.900000000000006</v>
      </c>
      <c r="C99" s="198">
        <f t="shared" si="34"/>
        <v>68.099999999999994</v>
      </c>
      <c r="D99" s="94">
        <f t="shared" si="34"/>
        <v>58.9</v>
      </c>
      <c r="E99" s="94">
        <f t="shared" si="34"/>
        <v>52.5</v>
      </c>
      <c r="F99" s="199">
        <f t="shared" si="34"/>
        <v>207.4</v>
      </c>
      <c r="G99" s="199">
        <f t="shared" si="34"/>
        <v>49.7</v>
      </c>
      <c r="H99" s="198">
        <f t="shared" si="34"/>
        <v>69.900000000000006</v>
      </c>
      <c r="I99" s="94">
        <f t="shared" si="34"/>
        <v>84.7</v>
      </c>
      <c r="J99" s="94">
        <f t="shared" si="34"/>
        <v>52.1</v>
      </c>
      <c r="K99" s="199">
        <f t="shared" si="34"/>
        <v>256.39999999999998</v>
      </c>
      <c r="L99" s="199">
        <f t="shared" si="34"/>
        <v>86.500000000000014</v>
      </c>
    </row>
    <row r="100" spans="1:12" x14ac:dyDescent="0.25">
      <c r="A100" s="86" t="s">
        <v>234</v>
      </c>
      <c r="B100" s="184">
        <f t="shared" ref="B100:L100" si="35">+B99/B79</f>
        <v>0.26878612716763012</v>
      </c>
      <c r="C100" s="183">
        <f t="shared" si="35"/>
        <v>0.6207839562443026</v>
      </c>
      <c r="D100" s="207">
        <f t="shared" si="35"/>
        <v>0.54416112342941603</v>
      </c>
      <c r="E100" s="207">
        <f t="shared" si="35"/>
        <v>0.38785460992907805</v>
      </c>
      <c r="F100" s="184">
        <f t="shared" si="35"/>
        <v>0.45373003719098665</v>
      </c>
      <c r="G100" s="184">
        <f t="shared" si="35"/>
        <v>0.33809523809523812</v>
      </c>
      <c r="H100" s="183">
        <f t="shared" si="35"/>
        <v>0.59590792838874684</v>
      </c>
      <c r="I100" s="207">
        <f t="shared" si="35"/>
        <v>0.71236333052985712</v>
      </c>
      <c r="J100" s="207">
        <f t="shared" si="35"/>
        <v>0.3438943894389439</v>
      </c>
      <c r="K100" s="184">
        <f t="shared" si="35"/>
        <v>0.47952122685618093</v>
      </c>
      <c r="L100" s="184">
        <f t="shared" si="35"/>
        <v>0.63979289940828421</v>
      </c>
    </row>
    <row r="101" spans="1:12" s="413" customFormat="1" x14ac:dyDescent="0.25">
      <c r="A101" s="86"/>
      <c r="B101" s="184"/>
      <c r="C101" s="183"/>
      <c r="D101" s="207"/>
      <c r="E101" s="207"/>
      <c r="F101" s="184"/>
      <c r="G101" s="184"/>
      <c r="H101" s="183"/>
      <c r="I101" s="207"/>
      <c r="J101" s="207"/>
      <c r="K101" s="184"/>
      <c r="L101" s="184"/>
    </row>
    <row r="102" spans="1:12" s="413" customFormat="1" x14ac:dyDescent="0.25">
      <c r="A102" s="86" t="s">
        <v>133</v>
      </c>
      <c r="B102" s="443">
        <f>+'Segment Revenue Detail History'!B29</f>
        <v>113.4</v>
      </c>
      <c r="C102" s="444">
        <f>+'Segment Revenue Detail History'!C29</f>
        <v>189.20000000000005</v>
      </c>
      <c r="D102" s="444">
        <f>+'Segment Revenue Detail History'!D29</f>
        <v>177.44</v>
      </c>
      <c r="E102" s="444">
        <f>+'Segment Revenue Detail History'!E29</f>
        <v>180.05999999999997</v>
      </c>
      <c r="F102" s="445">
        <f>+B102+C102+D102+E102</f>
        <v>660.1</v>
      </c>
      <c r="G102" s="443">
        <f>+'Segment Revenue Detail History'!G29</f>
        <v>182.6</v>
      </c>
      <c r="H102" s="444">
        <f>+'Segment Revenue Detail History'!H29</f>
        <v>216.3</v>
      </c>
      <c r="I102" s="444">
        <f>+'Segment Revenue Detail History'!I29</f>
        <v>241.3</v>
      </c>
      <c r="J102" s="444">
        <f>+'Segment Revenue Detail History'!J29</f>
        <v>215.40000000000003</v>
      </c>
      <c r="K102" s="445">
        <f>+G102+H102+I102+J102</f>
        <v>855.60000000000014</v>
      </c>
      <c r="L102" s="443">
        <f>+'Segment Revenue Detail History'!L29</f>
        <v>220.5</v>
      </c>
    </row>
    <row r="103" spans="1:12" x14ac:dyDescent="0.25">
      <c r="A103" s="86" t="s">
        <v>132</v>
      </c>
      <c r="B103" s="446">
        <f>+B99/B102</f>
        <v>0.24603174603174607</v>
      </c>
      <c r="C103" s="447">
        <f t="shared" ref="C103:F103" si="36">+C99/C102</f>
        <v>0.35993657505285398</v>
      </c>
      <c r="D103" s="447">
        <f t="shared" si="36"/>
        <v>0.33194319206492334</v>
      </c>
      <c r="E103" s="447">
        <f t="shared" si="36"/>
        <v>0.291569476841053</v>
      </c>
      <c r="F103" s="446">
        <f t="shared" si="36"/>
        <v>0.31419481896682322</v>
      </c>
      <c r="G103" s="446">
        <f>+G99/G102</f>
        <v>0.27217962760131437</v>
      </c>
      <c r="H103" s="447">
        <f t="shared" ref="H103" si="37">+H99/H102</f>
        <v>0.32316227461858532</v>
      </c>
      <c r="I103" s="447">
        <f t="shared" ref="I103" si="38">+I99/I102</f>
        <v>0.35101533360961457</v>
      </c>
      <c r="J103" s="447">
        <f t="shared" ref="J103" si="39">+J99/J102</f>
        <v>0.2418755803156917</v>
      </c>
      <c r="K103" s="446">
        <f t="shared" ref="K103" si="40">+K99/K102</f>
        <v>0.2996727442730247</v>
      </c>
      <c r="L103" s="446">
        <f>+L99/L102</f>
        <v>0.39229024943310664</v>
      </c>
    </row>
    <row r="104" spans="1:12" ht="6" customHeight="1" x14ac:dyDescent="0.25">
      <c r="A104" s="79"/>
      <c r="B104" s="43"/>
      <c r="C104" s="43"/>
      <c r="D104" s="43"/>
    </row>
    <row r="105" spans="1:12" x14ac:dyDescent="0.25">
      <c r="A105" s="108" t="s">
        <v>131</v>
      </c>
      <c r="B105" s="43"/>
      <c r="C105" s="43"/>
      <c r="D105" s="43"/>
      <c r="F105" s="4"/>
    </row>
    <row r="106" spans="1:12" x14ac:dyDescent="0.25">
      <c r="A106" s="490" t="s">
        <v>233</v>
      </c>
      <c r="B106" s="491"/>
      <c r="C106" s="491"/>
      <c r="D106" s="43"/>
    </row>
    <row r="107" spans="1:12" ht="14.65" customHeight="1" x14ac:dyDescent="0.25">
      <c r="A107" s="179" t="s">
        <v>54</v>
      </c>
      <c r="B107" s="43"/>
      <c r="C107" s="43"/>
      <c r="D107" s="43"/>
    </row>
    <row r="108" spans="1:12" ht="21.6" customHeight="1" x14ac:dyDescent="0.25">
      <c r="A108" s="489" t="s">
        <v>54</v>
      </c>
      <c r="B108" s="489"/>
      <c r="C108" s="489"/>
      <c r="D108" s="489"/>
    </row>
  </sheetData>
  <mergeCells count="2">
    <mergeCell ref="A108:D108"/>
    <mergeCell ref="A106:C106"/>
  </mergeCells>
  <pageMargins left="0.45" right="0.45" top="0.75" bottom="0.25" header="0.3" footer="0.05"/>
  <pageSetup scale="54" fitToHeight="2" orientation="landscape" horizontalDpi="4294967293" verticalDpi="4294967293" r:id="rId1"/>
  <rowBreaks count="1" manualBreakCount="1">
    <brk id="76" max="11" man="1"/>
  </rowBreaks>
  <ignoredErrors>
    <ignoredError sqref="B98 F5:F6 K5:K6 F17 F23 F25:F26 F42 F48 F72 F9:F11 F15 F19:F2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30E3C-B5F4-45DC-A7AD-929BEB94BED0}">
  <sheetPr>
    <pageSetUpPr fitToPage="1"/>
  </sheetPr>
  <dimension ref="A1:M14"/>
  <sheetViews>
    <sheetView zoomScale="115" zoomScaleNormal="115" zoomScaleSheetLayoutView="100" workbookViewId="0">
      <pane xSplit="2" ySplit="3" topLeftCell="C4" activePane="bottomRight" state="frozen"/>
      <selection activeCell="B55" sqref="B55"/>
      <selection pane="topRight" activeCell="B55" sqref="B55"/>
      <selection pane="bottomLeft" activeCell="B55" sqref="B55"/>
      <selection pane="bottomRight" activeCell="B1" sqref="B1"/>
    </sheetView>
  </sheetViews>
  <sheetFormatPr defaultColWidth="9.140625" defaultRowHeight="15" x14ac:dyDescent="0.25"/>
  <cols>
    <col min="1" max="1" width="1.7109375" style="3" customWidth="1"/>
    <col min="2" max="2" width="52.140625" style="3" customWidth="1"/>
    <col min="3" max="16384" width="9.140625" style="3"/>
  </cols>
  <sheetData>
    <row r="1" spans="1:13" x14ac:dyDescent="0.25">
      <c r="A1" s="41" t="s">
        <v>230</v>
      </c>
      <c r="B1" s="41"/>
    </row>
    <row r="2" spans="1:13" ht="12.75" customHeight="1" x14ac:dyDescent="0.25">
      <c r="A2" s="42" t="s">
        <v>53</v>
      </c>
      <c r="B2" s="42"/>
      <c r="C2" s="161"/>
      <c r="D2" s="161"/>
      <c r="E2" s="161"/>
      <c r="F2" s="161"/>
      <c r="G2" s="161"/>
    </row>
    <row r="3" spans="1:13" s="11" customFormat="1" x14ac:dyDescent="0.25">
      <c r="A3" s="44"/>
      <c r="B3" s="45"/>
      <c r="C3" s="46" t="s">
        <v>0</v>
      </c>
      <c r="D3" s="47" t="s">
        <v>1</v>
      </c>
      <c r="E3" s="47" t="s">
        <v>45</v>
      </c>
      <c r="F3" s="47" t="s">
        <v>46</v>
      </c>
      <c r="G3" s="178">
        <v>2017</v>
      </c>
      <c r="H3" s="46" t="s">
        <v>47</v>
      </c>
      <c r="I3" s="47" t="s">
        <v>44</v>
      </c>
      <c r="J3" s="47" t="s">
        <v>57</v>
      </c>
      <c r="K3" s="47" t="s">
        <v>58</v>
      </c>
      <c r="L3" s="178">
        <v>2018</v>
      </c>
      <c r="M3" s="46" t="s">
        <v>105</v>
      </c>
    </row>
    <row r="4" spans="1:13" ht="15" customHeight="1" x14ac:dyDescent="0.25">
      <c r="A4" s="48"/>
      <c r="B4" s="49" t="s">
        <v>232</v>
      </c>
      <c r="C4" s="459">
        <v>5.0999999999999996</v>
      </c>
      <c r="D4" s="100">
        <v>5.9</v>
      </c>
      <c r="E4" s="97">
        <v>5.4</v>
      </c>
      <c r="F4" s="97">
        <v>3.8</v>
      </c>
      <c r="G4" s="458">
        <f>+F4</f>
        <v>3.8</v>
      </c>
      <c r="H4" s="459">
        <v>4.0999999999999996</v>
      </c>
      <c r="I4" s="100">
        <v>3.9</v>
      </c>
      <c r="J4" s="100">
        <v>3.6</v>
      </c>
      <c r="K4" s="100">
        <v>3.7</v>
      </c>
      <c r="L4" s="460">
        <v>3.7</v>
      </c>
      <c r="M4" s="459">
        <v>2.8</v>
      </c>
    </row>
    <row r="5" spans="1:13" ht="15" customHeight="1" x14ac:dyDescent="0.25">
      <c r="A5" s="48"/>
      <c r="B5" s="49" t="s">
        <v>244</v>
      </c>
      <c r="C5" s="459">
        <v>5.9</v>
      </c>
      <c r="D5" s="100">
        <v>5.9</v>
      </c>
      <c r="E5" s="97">
        <v>5.9</v>
      </c>
      <c r="F5" s="97">
        <v>6.8</v>
      </c>
      <c r="G5" s="458">
        <f>+F5</f>
        <v>6.8</v>
      </c>
      <c r="H5" s="459">
        <v>7.7</v>
      </c>
      <c r="I5" s="100">
        <v>8</v>
      </c>
      <c r="J5" s="100">
        <v>8.8000000000000007</v>
      </c>
      <c r="K5" s="461">
        <v>9</v>
      </c>
      <c r="L5" s="462">
        <v>9</v>
      </c>
      <c r="M5" s="459">
        <v>9.6999999999999993</v>
      </c>
    </row>
    <row r="6" spans="1:13" x14ac:dyDescent="0.25">
      <c r="A6" s="48"/>
      <c r="B6" s="49"/>
      <c r="C6" s="58"/>
      <c r="D6" s="52"/>
      <c r="E6" s="52"/>
      <c r="F6" s="52"/>
      <c r="G6" s="87"/>
      <c r="H6" s="58"/>
      <c r="I6" s="52"/>
      <c r="J6" s="52"/>
      <c r="K6" s="52"/>
      <c r="L6" s="87"/>
      <c r="M6" s="58"/>
    </row>
    <row r="7" spans="1:13" ht="3.6" customHeight="1" x14ac:dyDescent="0.25">
      <c r="A7" s="53"/>
      <c r="B7" s="54"/>
      <c r="C7" s="55"/>
      <c r="D7" s="56"/>
      <c r="E7" s="56"/>
      <c r="F7" s="56"/>
      <c r="G7" s="175"/>
      <c r="H7" s="55"/>
      <c r="I7" s="56"/>
      <c r="J7" s="56"/>
      <c r="K7" s="56"/>
      <c r="L7" s="175"/>
      <c r="M7" s="55"/>
    </row>
    <row r="8" spans="1:13" x14ac:dyDescent="0.25">
      <c r="A8" s="48"/>
      <c r="B8" s="49"/>
      <c r="C8" s="58"/>
      <c r="D8" s="52"/>
      <c r="E8" s="52"/>
      <c r="F8" s="52"/>
      <c r="G8" s="87"/>
      <c r="H8" s="58"/>
      <c r="I8" s="52"/>
      <c r="J8" s="52"/>
      <c r="K8" s="52"/>
      <c r="L8" s="87"/>
      <c r="M8" s="58"/>
    </row>
    <row r="9" spans="1:13" x14ac:dyDescent="0.25">
      <c r="A9" s="48"/>
      <c r="B9" s="49" t="s">
        <v>231</v>
      </c>
      <c r="C9" s="50">
        <v>86.5</v>
      </c>
      <c r="D9" s="51">
        <v>91.7</v>
      </c>
      <c r="E9" s="52">
        <v>98.3</v>
      </c>
      <c r="F9" s="52">
        <v>103.2</v>
      </c>
      <c r="G9" s="174">
        <f>+F9</f>
        <v>103.2</v>
      </c>
      <c r="H9" s="50">
        <v>104.2</v>
      </c>
      <c r="I9" s="51">
        <v>101.7</v>
      </c>
      <c r="J9" s="51">
        <v>104.5</v>
      </c>
      <c r="K9" s="51">
        <v>105.5</v>
      </c>
      <c r="L9" s="174">
        <v>105.5</v>
      </c>
      <c r="M9" s="50">
        <v>107.2</v>
      </c>
    </row>
    <row r="10" spans="1:13" x14ac:dyDescent="0.25">
      <c r="B10" s="43"/>
      <c r="C10" s="43"/>
      <c r="D10" s="43"/>
      <c r="E10" s="52" t="s">
        <v>54</v>
      </c>
    </row>
    <row r="11" spans="1:13" x14ac:dyDescent="0.25">
      <c r="B11" s="43"/>
      <c r="C11" s="43"/>
      <c r="D11" s="43"/>
      <c r="E11" s="52" t="s">
        <v>54</v>
      </c>
    </row>
    <row r="12" spans="1:13" x14ac:dyDescent="0.25">
      <c r="B12" s="59" t="s">
        <v>55</v>
      </c>
      <c r="C12" s="43"/>
      <c r="D12" s="43"/>
      <c r="E12" s="43"/>
    </row>
    <row r="13" spans="1:13" x14ac:dyDescent="0.25">
      <c r="B13" s="59" t="s">
        <v>56</v>
      </c>
      <c r="C13" s="43"/>
      <c r="D13" s="43"/>
      <c r="E13" s="43"/>
    </row>
    <row r="14" spans="1:13" x14ac:dyDescent="0.25">
      <c r="B14" s="43"/>
      <c r="C14" s="43"/>
      <c r="D14" s="43"/>
      <c r="E14" s="43"/>
    </row>
  </sheetData>
  <pageMargins left="0.2" right="0.2" top="0.75" bottom="0.5" header="0.3" footer="0.3"/>
  <pageSetup scale="82"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063-659E-4C39-A44F-ABBDE5E682CA}">
  <sheetPr>
    <pageSetUpPr fitToPage="1"/>
  </sheetPr>
  <dimension ref="A1:L148"/>
  <sheetViews>
    <sheetView zoomScaleNormal="100" zoomScaleSheetLayoutView="90" workbookViewId="0">
      <pane xSplit="1" ySplit="3" topLeftCell="B4" activePane="bottomRight" state="frozen"/>
      <selection activeCell="B55" sqref="B55"/>
      <selection pane="topRight" activeCell="B55" sqref="B55"/>
      <selection pane="bottomLeft" activeCell="B55" sqref="B55"/>
      <selection pane="bottomRight" activeCell="A2" sqref="A2"/>
    </sheetView>
  </sheetViews>
  <sheetFormatPr defaultColWidth="9.140625" defaultRowHeight="15" outlineLevelCol="1" x14ac:dyDescent="0.25"/>
  <cols>
    <col min="1" max="1" width="59.7109375" style="1" customWidth="1"/>
    <col min="2" max="3" width="9.7109375" style="3" bestFit="1" customWidth="1" outlineLevel="1"/>
    <col min="4" max="4" width="9.140625" style="3" customWidth="1" outlineLevel="1"/>
    <col min="5" max="5" width="9.140625" style="3" outlineLevel="1"/>
    <col min="6" max="6" width="10.28515625" style="3" customWidth="1"/>
    <col min="7" max="10" width="9.140625" style="3" outlineLevel="1"/>
    <col min="11" max="11" width="10.42578125" style="3" bestFit="1" customWidth="1"/>
    <col min="12" max="16384" width="9.140625" style="3"/>
  </cols>
  <sheetData>
    <row r="1" spans="1:12" x14ac:dyDescent="0.25">
      <c r="A1" s="41" t="s">
        <v>202</v>
      </c>
    </row>
    <row r="2" spans="1:12" x14ac:dyDescent="0.25">
      <c r="A2" s="42" t="s">
        <v>201</v>
      </c>
      <c r="B2" s="161" t="s">
        <v>54</v>
      </c>
      <c r="C2" s="161" t="s">
        <v>54</v>
      </c>
      <c r="D2" s="161" t="s">
        <v>54</v>
      </c>
      <c r="E2" s="161" t="s">
        <v>54</v>
      </c>
      <c r="F2" s="161" t="s">
        <v>54</v>
      </c>
    </row>
    <row r="3" spans="1:12" x14ac:dyDescent="0.25">
      <c r="A3" s="78"/>
      <c r="B3" s="81" t="s">
        <v>0</v>
      </c>
      <c r="C3" s="80" t="s">
        <v>1</v>
      </c>
      <c r="D3" s="80" t="s">
        <v>45</v>
      </c>
      <c r="E3" s="80" t="s">
        <v>46</v>
      </c>
      <c r="F3" s="391">
        <v>2017</v>
      </c>
      <c r="G3" s="47" t="s">
        <v>47</v>
      </c>
      <c r="H3" s="47" t="s">
        <v>44</v>
      </c>
      <c r="I3" s="47" t="s">
        <v>57</v>
      </c>
      <c r="J3" s="47" t="s">
        <v>58</v>
      </c>
      <c r="K3" s="391">
        <v>2018</v>
      </c>
      <c r="L3" s="47" t="s">
        <v>105</v>
      </c>
    </row>
    <row r="4" spans="1:12" x14ac:dyDescent="0.25">
      <c r="A4" s="41" t="s">
        <v>54</v>
      </c>
      <c r="B4" s="77"/>
      <c r="C4" s="43"/>
      <c r="D4" s="43"/>
      <c r="E4" s="43"/>
      <c r="F4" s="159"/>
      <c r="K4" s="4"/>
      <c r="L4" s="413"/>
    </row>
    <row r="5" spans="1:12" x14ac:dyDescent="0.25">
      <c r="A5" s="372" t="s">
        <v>184</v>
      </c>
      <c r="B5" s="371"/>
      <c r="C5" s="370"/>
      <c r="D5" s="370"/>
      <c r="E5" s="370"/>
      <c r="F5" s="369"/>
      <c r="G5" s="308"/>
      <c r="H5" s="308"/>
      <c r="I5" s="308"/>
      <c r="J5" s="308"/>
      <c r="K5" s="307"/>
      <c r="L5" s="308"/>
    </row>
    <row r="6" spans="1:12" x14ac:dyDescent="0.25">
      <c r="A6" s="93" t="s">
        <v>127</v>
      </c>
      <c r="B6" s="360">
        <v>1933.85</v>
      </c>
      <c r="C6" s="101">
        <v>2200.9499999999998</v>
      </c>
      <c r="D6" s="101">
        <v>2328.36</v>
      </c>
      <c r="E6" s="101">
        <v>2945.87</v>
      </c>
      <c r="F6" s="360">
        <v>9409.0400000000009</v>
      </c>
      <c r="G6" s="360">
        <v>2276.9</v>
      </c>
      <c r="H6" s="101">
        <v>2535.6</v>
      </c>
      <c r="I6" s="101">
        <v>2621</v>
      </c>
      <c r="J6" s="101">
        <v>3404</v>
      </c>
      <c r="K6" s="359">
        <f>+G6+H6+I6+J6</f>
        <v>10837.5</v>
      </c>
      <c r="L6" s="360">
        <v>2428.6999999999998</v>
      </c>
    </row>
    <row r="7" spans="1:12" x14ac:dyDescent="0.25">
      <c r="A7" s="88" t="s">
        <v>13</v>
      </c>
      <c r="B7" s="208">
        <v>2117.11</v>
      </c>
      <c r="C7" s="92">
        <v>2238.62</v>
      </c>
      <c r="D7" s="92">
        <v>2310.2399999999998</v>
      </c>
      <c r="E7" s="92">
        <v>2553.7800000000002</v>
      </c>
      <c r="F7" s="208">
        <v>9219.75</v>
      </c>
      <c r="G7" s="208">
        <v>2397.0500000000002</v>
      </c>
      <c r="H7" s="92">
        <v>2575.83</v>
      </c>
      <c r="I7" s="92">
        <v>2640</v>
      </c>
      <c r="J7" s="92">
        <v>2889.7</v>
      </c>
      <c r="K7" s="214">
        <f>+G7+H7+I7+J7</f>
        <v>10502.58</v>
      </c>
      <c r="L7" s="208">
        <v>2706.8</v>
      </c>
    </row>
    <row r="8" spans="1:12" x14ac:dyDescent="0.25">
      <c r="A8" s="93" t="s">
        <v>142</v>
      </c>
      <c r="B8" s="360">
        <f t="shared" ref="B8:G8" si="0">+B6+B7</f>
        <v>4050.96</v>
      </c>
      <c r="C8" s="101">
        <f t="shared" si="0"/>
        <v>4439.57</v>
      </c>
      <c r="D8" s="101">
        <f t="shared" si="0"/>
        <v>4638.6000000000004</v>
      </c>
      <c r="E8" s="101">
        <f t="shared" si="0"/>
        <v>5499.65</v>
      </c>
      <c r="F8" s="360">
        <f t="shared" si="0"/>
        <v>18628.79</v>
      </c>
      <c r="G8" s="360">
        <f t="shared" si="0"/>
        <v>4673.9500000000007</v>
      </c>
      <c r="H8" s="101">
        <v>5111.43</v>
      </c>
      <c r="I8" s="101">
        <v>5261</v>
      </c>
      <c r="J8" s="101">
        <f>+J6+J7</f>
        <v>6293.7</v>
      </c>
      <c r="K8" s="359">
        <f>+K6+K7</f>
        <v>21340.080000000002</v>
      </c>
      <c r="L8" s="360">
        <f t="shared" ref="L8" si="1">+L6+L7</f>
        <v>5135.5</v>
      </c>
    </row>
    <row r="9" spans="1:12" ht="3.75" customHeight="1" x14ac:dyDescent="0.25">
      <c r="A9" s="86"/>
      <c r="B9" s="50"/>
      <c r="C9" s="51"/>
      <c r="D9" s="51"/>
      <c r="E9" s="51"/>
      <c r="F9" s="50"/>
      <c r="G9" s="50"/>
      <c r="H9" s="51"/>
      <c r="I9" s="51"/>
      <c r="J9" s="51"/>
      <c r="K9" s="174"/>
      <c r="L9" s="50"/>
    </row>
    <row r="10" spans="1:12" x14ac:dyDescent="0.25">
      <c r="A10" s="86" t="s">
        <v>144</v>
      </c>
      <c r="B10" s="50">
        <v>3146.48</v>
      </c>
      <c r="C10" s="51">
        <v>3409.54</v>
      </c>
      <c r="D10" s="51">
        <v>3598.28</v>
      </c>
      <c r="E10" s="51">
        <v>4150.8</v>
      </c>
      <c r="F10" s="50">
        <v>14305.1</v>
      </c>
      <c r="G10" s="50">
        <v>3619.96</v>
      </c>
      <c r="H10" s="51">
        <v>3958.7</v>
      </c>
      <c r="I10" s="51">
        <v>4098.8999999999996</v>
      </c>
      <c r="J10" s="51">
        <v>4771.6000000000004</v>
      </c>
      <c r="K10" s="174">
        <f>+G10+H10+I10+J10</f>
        <v>16449.16</v>
      </c>
      <c r="L10" s="50">
        <v>4022</v>
      </c>
    </row>
    <row r="11" spans="1:12" x14ac:dyDescent="0.25">
      <c r="A11" s="86" t="s">
        <v>141</v>
      </c>
      <c r="B11" s="50">
        <v>606.63</v>
      </c>
      <c r="C11" s="51">
        <v>712.61</v>
      </c>
      <c r="D11" s="51">
        <v>704.9</v>
      </c>
      <c r="E11" s="51">
        <v>834.53</v>
      </c>
      <c r="F11" s="50">
        <v>2858.72</v>
      </c>
      <c r="G11" s="50">
        <v>732.24</v>
      </c>
      <c r="H11" s="51">
        <v>826.28</v>
      </c>
      <c r="I11" s="51">
        <v>859.1</v>
      </c>
      <c r="J11" s="51">
        <v>948.2</v>
      </c>
      <c r="K11" s="174">
        <f>+G11+H11+I11+J11</f>
        <v>3365.8199999999997</v>
      </c>
      <c r="L11" s="50">
        <v>792.9</v>
      </c>
    </row>
    <row r="12" spans="1:12" x14ac:dyDescent="0.25">
      <c r="A12" s="435" t="s">
        <v>140</v>
      </c>
      <c r="B12" s="50">
        <v>94.04</v>
      </c>
      <c r="C12" s="438">
        <v>100.39</v>
      </c>
      <c r="D12" s="438">
        <v>102.59</v>
      </c>
      <c r="E12" s="438">
        <v>109.1</v>
      </c>
      <c r="F12" s="50">
        <v>406.11</v>
      </c>
      <c r="G12" s="50">
        <v>108.16</v>
      </c>
      <c r="H12" s="438">
        <v>113.4</v>
      </c>
      <c r="I12" s="438">
        <v>113.5</v>
      </c>
      <c r="J12" s="438">
        <v>116.9</v>
      </c>
      <c r="K12" s="50">
        <f>+G12+H12+I12+J12</f>
        <v>451.96000000000004</v>
      </c>
      <c r="L12" s="50">
        <v>105.8</v>
      </c>
    </row>
    <row r="13" spans="1:12" s="413" customFormat="1" x14ac:dyDescent="0.25">
      <c r="A13" s="88" t="s">
        <v>211</v>
      </c>
      <c r="B13" s="208">
        <v>0</v>
      </c>
      <c r="C13" s="92">
        <v>0</v>
      </c>
      <c r="D13" s="92">
        <v>0</v>
      </c>
      <c r="E13" s="92">
        <v>0</v>
      </c>
      <c r="F13" s="208">
        <v>0</v>
      </c>
      <c r="G13" s="208">
        <v>0</v>
      </c>
      <c r="H13" s="92">
        <v>0</v>
      </c>
      <c r="I13" s="92">
        <v>0</v>
      </c>
      <c r="J13" s="92">
        <v>0</v>
      </c>
      <c r="K13" s="214">
        <v>0</v>
      </c>
      <c r="L13" s="208">
        <v>89</v>
      </c>
    </row>
    <row r="14" spans="1:12" x14ac:dyDescent="0.25">
      <c r="A14" s="93" t="s">
        <v>3</v>
      </c>
      <c r="B14" s="360">
        <v>3847.1</v>
      </c>
      <c r="C14" s="440">
        <f>+C10+C11+C12</f>
        <v>4222.54</v>
      </c>
      <c r="D14" s="440">
        <f>+D10+D11+D12</f>
        <v>4405.7700000000004</v>
      </c>
      <c r="E14" s="440">
        <f>+E10+E11+E12</f>
        <v>5094.43</v>
      </c>
      <c r="F14" s="360">
        <f>+F10+F11+F12</f>
        <v>17569.93</v>
      </c>
      <c r="G14" s="360">
        <f>+G10+G11+G12</f>
        <v>4460.3599999999997</v>
      </c>
      <c r="H14" s="440">
        <v>4898.43</v>
      </c>
      <c r="I14" s="440">
        <v>5071.5</v>
      </c>
      <c r="J14" s="101">
        <f>+J10+J11+J12</f>
        <v>5836.7</v>
      </c>
      <c r="K14" s="359">
        <f>16449.2+3365.8+452</f>
        <v>20267</v>
      </c>
      <c r="L14" s="360">
        <f>+L10+L11+L12+L13</f>
        <v>5009.7</v>
      </c>
    </row>
    <row r="15" spans="1:12" ht="4.3499999999999996" customHeight="1" x14ac:dyDescent="0.25">
      <c r="A15" s="86"/>
      <c r="B15" s="50"/>
      <c r="C15" s="51"/>
      <c r="D15" s="51"/>
      <c r="E15" s="51"/>
      <c r="F15" s="50"/>
      <c r="G15" s="50"/>
      <c r="H15" s="51"/>
      <c r="I15" s="51"/>
      <c r="J15" s="51"/>
      <c r="K15" s="174"/>
      <c r="L15" s="50"/>
    </row>
    <row r="16" spans="1:12" x14ac:dyDescent="0.25">
      <c r="A16" s="86" t="s">
        <v>4</v>
      </c>
      <c r="B16" s="50">
        <v>1.39</v>
      </c>
      <c r="C16" s="51">
        <v>11.3</v>
      </c>
      <c r="D16" s="51">
        <v>6.18</v>
      </c>
      <c r="E16" s="51">
        <v>0.9</v>
      </c>
      <c r="F16" s="50">
        <v>19.829999999999998</v>
      </c>
      <c r="G16" s="50">
        <v>0</v>
      </c>
      <c r="H16" s="51">
        <v>12.31</v>
      </c>
      <c r="I16" s="51">
        <v>0.2</v>
      </c>
      <c r="J16" s="51">
        <v>2.2999999999999998</v>
      </c>
      <c r="K16" s="174">
        <f>+G16+H16+I16+J16</f>
        <v>14.809999999999999</v>
      </c>
      <c r="L16" s="50">
        <v>19.2</v>
      </c>
    </row>
    <row r="17" spans="1:12" ht="3.6" customHeight="1" x14ac:dyDescent="0.25">
      <c r="A17" s="86"/>
      <c r="B17" s="50"/>
      <c r="C17" s="51"/>
      <c r="D17" s="51"/>
      <c r="E17" s="51"/>
      <c r="F17" s="50"/>
      <c r="G17" s="50"/>
      <c r="H17" s="51"/>
      <c r="I17" s="51"/>
      <c r="J17" s="51"/>
      <c r="K17" s="174"/>
      <c r="L17" s="50"/>
    </row>
    <row r="18" spans="1:12" x14ac:dyDescent="0.25">
      <c r="A18" s="86" t="s">
        <v>5</v>
      </c>
      <c r="B18" s="50">
        <v>205.3</v>
      </c>
      <c r="C18" s="51">
        <v>228.33</v>
      </c>
      <c r="D18" s="51">
        <v>238.96</v>
      </c>
      <c r="E18" s="51">
        <v>406.19</v>
      </c>
      <c r="F18" s="50">
        <v>1078.68</v>
      </c>
      <c r="G18" s="50">
        <v>213.6</v>
      </c>
      <c r="H18" s="51">
        <v>225.32</v>
      </c>
      <c r="I18" s="51">
        <v>189.7</v>
      </c>
      <c r="J18" s="51">
        <f>+J8-J14+J16</f>
        <v>459.3</v>
      </c>
      <c r="K18" s="174">
        <f>+K8-K14+K16</f>
        <v>1087.8900000000017</v>
      </c>
      <c r="L18" s="50">
        <f>+L8-L14+L16</f>
        <v>145.00000000000017</v>
      </c>
    </row>
    <row r="19" spans="1:12" ht="3.6" customHeight="1" x14ac:dyDescent="0.25">
      <c r="A19" s="86"/>
      <c r="B19" s="50"/>
      <c r="C19" s="51"/>
      <c r="D19" s="51"/>
      <c r="E19" s="51"/>
      <c r="F19" s="50"/>
      <c r="G19" s="50"/>
      <c r="H19" s="51"/>
      <c r="I19" s="51"/>
      <c r="J19" s="51"/>
      <c r="K19" s="174"/>
      <c r="L19" s="50"/>
    </row>
    <row r="20" spans="1:12" x14ac:dyDescent="0.25">
      <c r="A20" s="86" t="s">
        <v>139</v>
      </c>
      <c r="B20" s="50">
        <v>15.02</v>
      </c>
      <c r="C20" s="51">
        <v>75.38</v>
      </c>
      <c r="D20" s="51">
        <v>67.83</v>
      </c>
      <c r="E20" s="51">
        <v>51.97</v>
      </c>
      <c r="F20" s="50">
        <v>210.21</v>
      </c>
      <c r="G20" s="50">
        <v>40.18</v>
      </c>
      <c r="H20" s="51">
        <v>96.02</v>
      </c>
      <c r="I20" s="51">
        <v>126.8</v>
      </c>
      <c r="J20" s="51">
        <v>61.6</v>
      </c>
      <c r="K20" s="174">
        <f t="shared" ref="K20:K26" si="2">+G20+H20+I20+J20</f>
        <v>324.60000000000002</v>
      </c>
      <c r="L20" s="50">
        <v>72.7</v>
      </c>
    </row>
    <row r="21" spans="1:12" x14ac:dyDescent="0.25">
      <c r="A21" s="86" t="s">
        <v>138</v>
      </c>
      <c r="B21" s="50">
        <v>4.1100000000000003</v>
      </c>
      <c r="C21" s="51">
        <v>3.19</v>
      </c>
      <c r="D21" s="51">
        <v>1.77</v>
      </c>
      <c r="E21" s="51">
        <v>0.34</v>
      </c>
      <c r="F21" s="50">
        <v>9.4</v>
      </c>
      <c r="G21" s="50">
        <v>-4.28</v>
      </c>
      <c r="H21" s="51">
        <v>4.01</v>
      </c>
      <c r="I21" s="51">
        <v>95.5</v>
      </c>
      <c r="J21" s="51">
        <v>-2.2000000000000002</v>
      </c>
      <c r="K21" s="174">
        <f t="shared" si="2"/>
        <v>93.03</v>
      </c>
      <c r="L21" s="50">
        <v>20.8</v>
      </c>
    </row>
    <row r="22" spans="1:12" x14ac:dyDescent="0.25">
      <c r="A22" s="86" t="s">
        <v>16</v>
      </c>
      <c r="B22" s="50">
        <v>2.2999999999999998</v>
      </c>
      <c r="C22" s="51">
        <v>1.43</v>
      </c>
      <c r="D22" s="51">
        <v>3.13</v>
      </c>
      <c r="E22" s="51">
        <v>2.89</v>
      </c>
      <c r="F22" s="50">
        <v>9.85</v>
      </c>
      <c r="G22" s="50">
        <v>3.7</v>
      </c>
      <c r="H22" s="51">
        <v>1.49</v>
      </c>
      <c r="I22" s="51">
        <v>1.1000000000000001</v>
      </c>
      <c r="J22" s="51">
        <v>2.2999999999999998</v>
      </c>
      <c r="K22" s="174">
        <f t="shared" si="2"/>
        <v>8.59</v>
      </c>
      <c r="L22" s="50">
        <v>1.5</v>
      </c>
    </row>
    <row r="23" spans="1:12" x14ac:dyDescent="0.25">
      <c r="A23" s="86" t="s">
        <v>17</v>
      </c>
      <c r="B23" s="50">
        <v>34.01</v>
      </c>
      <c r="C23" s="51">
        <v>35.43</v>
      </c>
      <c r="D23" s="51">
        <v>34.479999999999997</v>
      </c>
      <c r="E23" s="51">
        <v>32.9</v>
      </c>
      <c r="F23" s="50">
        <v>136.80000000000001</v>
      </c>
      <c r="G23" s="50">
        <v>28.86</v>
      </c>
      <c r="H23" s="51">
        <v>26.88</v>
      </c>
      <c r="I23" s="51">
        <v>26.6</v>
      </c>
      <c r="J23" s="51">
        <v>24.9</v>
      </c>
      <c r="K23" s="174">
        <f t="shared" si="2"/>
        <v>107.24000000000001</v>
      </c>
      <c r="L23" s="50">
        <v>22.7</v>
      </c>
    </row>
    <row r="24" spans="1:12" x14ac:dyDescent="0.25">
      <c r="A24" s="86" t="s">
        <v>199</v>
      </c>
      <c r="B24" s="50">
        <v>0</v>
      </c>
      <c r="C24" s="51">
        <v>0</v>
      </c>
      <c r="D24" s="51">
        <v>0</v>
      </c>
      <c r="E24" s="51">
        <v>0</v>
      </c>
      <c r="F24" s="50">
        <v>0</v>
      </c>
      <c r="G24" s="50">
        <v>27.98</v>
      </c>
      <c r="H24" s="51">
        <v>0</v>
      </c>
      <c r="I24" s="51">
        <v>0</v>
      </c>
      <c r="J24" s="51">
        <v>0</v>
      </c>
      <c r="K24" s="174">
        <f t="shared" si="2"/>
        <v>27.98</v>
      </c>
      <c r="L24" s="50">
        <v>2.6</v>
      </c>
    </row>
    <row r="25" spans="1:12" x14ac:dyDescent="0.25">
      <c r="A25" s="88" t="s">
        <v>193</v>
      </c>
      <c r="B25" s="208">
        <v>192.74</v>
      </c>
      <c r="C25" s="92">
        <v>272.89</v>
      </c>
      <c r="D25" s="92">
        <v>277.10000000000002</v>
      </c>
      <c r="E25" s="92">
        <v>428.49</v>
      </c>
      <c r="F25" s="208">
        <v>1171.33</v>
      </c>
      <c r="G25" s="208">
        <v>196.29</v>
      </c>
      <c r="H25" s="92">
        <v>299.89999999999998</v>
      </c>
      <c r="I25" s="92">
        <v>386.5</v>
      </c>
      <c r="J25" s="92">
        <f>+J18+J20+J21+J22-J23</f>
        <v>496.09999999999991</v>
      </c>
      <c r="K25" s="214">
        <f t="shared" si="2"/>
        <v>1378.79</v>
      </c>
      <c r="L25" s="208">
        <f>+L18+L20+L21+L22-L23-L24</f>
        <v>214.70000000000019</v>
      </c>
    </row>
    <row r="26" spans="1:12" x14ac:dyDescent="0.25">
      <c r="A26" s="86" t="s">
        <v>188</v>
      </c>
      <c r="B26" s="50">
        <v>53.82</v>
      </c>
      <c r="C26" s="51">
        <v>69.89</v>
      </c>
      <c r="D26" s="51">
        <v>77</v>
      </c>
      <c r="E26" s="51">
        <v>266.98</v>
      </c>
      <c r="F26" s="50">
        <v>467.76</v>
      </c>
      <c r="G26" s="50">
        <v>46.1</v>
      </c>
      <c r="H26" s="51">
        <v>70.319999999999993</v>
      </c>
      <c r="I26" s="51">
        <v>94.9</v>
      </c>
      <c r="J26" s="51">
        <v>101.6</v>
      </c>
      <c r="K26" s="174">
        <f t="shared" si="2"/>
        <v>312.91999999999996</v>
      </c>
      <c r="L26" s="50">
        <v>43.9</v>
      </c>
    </row>
    <row r="27" spans="1:12" x14ac:dyDescent="0.25">
      <c r="A27" s="88" t="s">
        <v>192</v>
      </c>
      <c r="B27" s="271">
        <f t="shared" ref="B27:G27" si="3">B26/(B25-B29)</f>
        <v>0.28203112718126078</v>
      </c>
      <c r="C27" s="368">
        <f t="shared" si="3"/>
        <v>0.25727011705808733</v>
      </c>
      <c r="D27" s="368">
        <f t="shared" si="3"/>
        <v>0.27892487140476707</v>
      </c>
      <c r="E27" s="368">
        <f t="shared" si="3"/>
        <v>0.62641952135147827</v>
      </c>
      <c r="F27" s="271">
        <f t="shared" si="3"/>
        <v>0.40155898562917436</v>
      </c>
      <c r="G27" s="271">
        <f t="shared" si="3"/>
        <v>0.23473700290238814</v>
      </c>
      <c r="H27" s="368">
        <f>+H128</f>
        <v>0.2351839464882943</v>
      </c>
      <c r="I27" s="368">
        <v>0.24630158318193615</v>
      </c>
      <c r="J27" s="368">
        <f>+J128</f>
        <v>0.20508679854662901</v>
      </c>
      <c r="K27" s="367">
        <f>+K128</f>
        <v>0.2273979172873867</v>
      </c>
      <c r="L27" s="271">
        <f t="shared" ref="L27" si="4">L26/(L25-L29)</f>
        <v>0.21075372059529507</v>
      </c>
    </row>
    <row r="28" spans="1:12" x14ac:dyDescent="0.25">
      <c r="A28" s="86" t="s">
        <v>191</v>
      </c>
      <c r="B28" s="192">
        <f t="shared" ref="B28:G28" si="5">+B25-B26</f>
        <v>138.92000000000002</v>
      </c>
      <c r="C28" s="191">
        <f t="shared" si="5"/>
        <v>203</v>
      </c>
      <c r="D28" s="191">
        <f t="shared" si="5"/>
        <v>200.10000000000002</v>
      </c>
      <c r="E28" s="191">
        <f t="shared" si="5"/>
        <v>161.51</v>
      </c>
      <c r="F28" s="192">
        <f t="shared" si="5"/>
        <v>703.56999999999994</v>
      </c>
      <c r="G28" s="192">
        <f t="shared" si="5"/>
        <v>150.19</v>
      </c>
      <c r="H28" s="191">
        <v>229.63</v>
      </c>
      <c r="I28" s="191">
        <v>291.60000000000002</v>
      </c>
      <c r="J28" s="191">
        <f>+J25-J26</f>
        <v>394.49999999999989</v>
      </c>
      <c r="K28" s="197">
        <f>+K25-K26</f>
        <v>1065.8699999999999</v>
      </c>
      <c r="L28" s="192">
        <f t="shared" ref="L28" si="6">+L25-L26</f>
        <v>170.80000000000018</v>
      </c>
    </row>
    <row r="29" spans="1:12" ht="17.25" customHeight="1" x14ac:dyDescent="0.25">
      <c r="A29" s="86" t="s">
        <v>137</v>
      </c>
      <c r="B29" s="192">
        <v>1.91</v>
      </c>
      <c r="C29" s="191">
        <v>1.23</v>
      </c>
      <c r="D29" s="51">
        <v>1.04</v>
      </c>
      <c r="E29" s="51">
        <v>2.29</v>
      </c>
      <c r="F29" s="192">
        <v>6.47</v>
      </c>
      <c r="G29" s="192">
        <v>-0.1</v>
      </c>
      <c r="H29" s="191">
        <v>0.9</v>
      </c>
      <c r="I29" s="191">
        <v>1.2</v>
      </c>
      <c r="J29" s="189">
        <v>0.7</v>
      </c>
      <c r="K29" s="376">
        <f>+G29+H29+I29+J29</f>
        <v>2.7</v>
      </c>
      <c r="L29" s="192">
        <v>6.4</v>
      </c>
    </row>
    <row r="30" spans="1:12" s="8" customFormat="1" ht="15.75" thickBot="1" x14ac:dyDescent="0.3">
      <c r="A30" s="364" t="s">
        <v>200</v>
      </c>
      <c r="B30" s="390">
        <f t="shared" ref="B30:G30" si="7">+B28-B29</f>
        <v>137.01000000000002</v>
      </c>
      <c r="C30" s="389">
        <f t="shared" si="7"/>
        <v>201.77</v>
      </c>
      <c r="D30" s="389">
        <f t="shared" si="7"/>
        <v>199.06000000000003</v>
      </c>
      <c r="E30" s="389">
        <f t="shared" si="7"/>
        <v>159.22</v>
      </c>
      <c r="F30" s="390">
        <f t="shared" si="7"/>
        <v>697.09999999999991</v>
      </c>
      <c r="G30" s="390">
        <f t="shared" si="7"/>
        <v>150.29</v>
      </c>
      <c r="H30" s="389">
        <v>228.67</v>
      </c>
      <c r="I30" s="389">
        <v>290.40000000000003</v>
      </c>
      <c r="J30" s="389">
        <f>+J28-J29</f>
        <v>393.7999999999999</v>
      </c>
      <c r="K30" s="388">
        <f>+K28-K29</f>
        <v>1063.1699999999998</v>
      </c>
      <c r="L30" s="390">
        <f t="shared" ref="L30" si="8">+L28-L29</f>
        <v>164.40000000000018</v>
      </c>
    </row>
    <row r="31" spans="1:12" ht="3.75" customHeight="1" thickTop="1" x14ac:dyDescent="0.25">
      <c r="A31" s="86"/>
      <c r="B31" s="386"/>
      <c r="C31" s="385"/>
      <c r="D31" s="387"/>
      <c r="E31" s="387"/>
      <c r="F31" s="386"/>
      <c r="G31" s="386"/>
      <c r="H31" s="385"/>
      <c r="I31" s="385"/>
      <c r="J31" s="385"/>
      <c r="K31" s="384"/>
      <c r="L31" s="386"/>
    </row>
    <row r="32" spans="1:12" ht="15" customHeight="1" x14ac:dyDescent="0.25">
      <c r="A32" s="86" t="s">
        <v>189</v>
      </c>
      <c r="B32" s="192">
        <v>2.2999999999999998</v>
      </c>
      <c r="C32" s="191">
        <v>1.43</v>
      </c>
      <c r="D32" s="51">
        <v>3.13</v>
      </c>
      <c r="E32" s="51">
        <v>2.89</v>
      </c>
      <c r="F32" s="50">
        <v>9.85</v>
      </c>
      <c r="G32" s="192">
        <v>3.7</v>
      </c>
      <c r="H32" s="191">
        <v>1.49</v>
      </c>
      <c r="I32" s="191">
        <v>1.1000000000000001</v>
      </c>
      <c r="J32" s="191">
        <f>+J22</f>
        <v>2.2999999999999998</v>
      </c>
      <c r="K32" s="197">
        <f>+K22</f>
        <v>8.59</v>
      </c>
      <c r="L32" s="192">
        <f>+L22</f>
        <v>1.5</v>
      </c>
    </row>
    <row r="33" spans="1:12" ht="15" customHeight="1" x14ac:dyDescent="0.25">
      <c r="A33" s="86" t="s">
        <v>87</v>
      </c>
      <c r="B33" s="192"/>
      <c r="C33" s="191"/>
      <c r="D33" s="51"/>
      <c r="E33" s="51"/>
      <c r="F33" s="192"/>
      <c r="G33" s="192"/>
      <c r="H33" s="191"/>
      <c r="I33" s="191"/>
      <c r="J33" s="191"/>
      <c r="K33" s="197"/>
      <c r="L33" s="192"/>
    </row>
    <row r="34" spans="1:12" ht="15" customHeight="1" x14ac:dyDescent="0.25">
      <c r="A34" s="86" t="s">
        <v>17</v>
      </c>
      <c r="B34" s="50">
        <v>34.01</v>
      </c>
      <c r="C34" s="51">
        <v>35.43</v>
      </c>
      <c r="D34" s="51">
        <v>34.479999999999997</v>
      </c>
      <c r="E34" s="51">
        <v>32.9</v>
      </c>
      <c r="F34" s="50">
        <v>136.80000000000001</v>
      </c>
      <c r="G34" s="50">
        <v>28.9</v>
      </c>
      <c r="H34" s="51">
        <v>26.88</v>
      </c>
      <c r="I34" s="51">
        <v>26.6</v>
      </c>
      <c r="J34" s="51">
        <f t="shared" ref="J34:L35" si="9">+J23</f>
        <v>24.9</v>
      </c>
      <c r="K34" s="174">
        <f t="shared" si="9"/>
        <v>107.24000000000001</v>
      </c>
      <c r="L34" s="50">
        <f t="shared" si="9"/>
        <v>22.7</v>
      </c>
    </row>
    <row r="35" spans="1:12" ht="15" customHeight="1" x14ac:dyDescent="0.25">
      <c r="A35" s="86" t="s">
        <v>199</v>
      </c>
      <c r="B35" s="50">
        <v>0</v>
      </c>
      <c r="C35" s="51">
        <v>0</v>
      </c>
      <c r="D35" s="51">
        <v>0</v>
      </c>
      <c r="E35" s="51">
        <v>0</v>
      </c>
      <c r="F35" s="50">
        <v>0</v>
      </c>
      <c r="G35" s="50">
        <v>28</v>
      </c>
      <c r="H35" s="51">
        <v>0</v>
      </c>
      <c r="I35" s="51">
        <v>0</v>
      </c>
      <c r="J35" s="51">
        <f t="shared" si="9"/>
        <v>0</v>
      </c>
      <c r="K35" s="174">
        <f t="shared" si="9"/>
        <v>27.98</v>
      </c>
      <c r="L35" s="50">
        <f t="shared" si="9"/>
        <v>2.6</v>
      </c>
    </row>
    <row r="36" spans="1:12" ht="15" customHeight="1" x14ac:dyDescent="0.25">
      <c r="A36" s="86" t="s">
        <v>188</v>
      </c>
      <c r="B36" s="50">
        <f>B26</f>
        <v>53.82</v>
      </c>
      <c r="C36" s="51">
        <v>69.89</v>
      </c>
      <c r="D36" s="51">
        <v>77</v>
      </c>
      <c r="E36" s="51">
        <v>266.98</v>
      </c>
      <c r="F36" s="50">
        <v>467.76</v>
      </c>
      <c r="G36" s="50">
        <v>46.1</v>
      </c>
      <c r="H36" s="51">
        <v>70.319999999999993</v>
      </c>
      <c r="I36" s="51">
        <v>94.9</v>
      </c>
      <c r="J36" s="51">
        <f>+J26</f>
        <v>101.6</v>
      </c>
      <c r="K36" s="174">
        <f>+K26</f>
        <v>312.91999999999996</v>
      </c>
      <c r="L36" s="50">
        <f>+L26</f>
        <v>43.9</v>
      </c>
    </row>
    <row r="37" spans="1:12" ht="15" customHeight="1" x14ac:dyDescent="0.25">
      <c r="A37" s="435" t="s">
        <v>140</v>
      </c>
      <c r="B37" s="50">
        <v>94.04</v>
      </c>
      <c r="C37" s="438">
        <v>100.39</v>
      </c>
      <c r="D37" s="438">
        <v>102.59</v>
      </c>
      <c r="E37" s="438">
        <v>109.1</v>
      </c>
      <c r="F37" s="192">
        <v>406.11</v>
      </c>
      <c r="G37" s="50">
        <v>108.2</v>
      </c>
      <c r="H37" s="438">
        <v>113.4</v>
      </c>
      <c r="I37" s="438">
        <v>113.5</v>
      </c>
      <c r="J37" s="438">
        <f>+J12</f>
        <v>116.9</v>
      </c>
      <c r="K37" s="50">
        <f>+K12</f>
        <v>451.96000000000004</v>
      </c>
      <c r="L37" s="50">
        <f>+L12</f>
        <v>105.8</v>
      </c>
    </row>
    <row r="38" spans="1:12" s="413" customFormat="1" ht="15" customHeight="1" x14ac:dyDescent="0.25">
      <c r="A38" s="88" t="s">
        <v>211</v>
      </c>
      <c r="B38" s="208">
        <v>0</v>
      </c>
      <c r="C38" s="92">
        <v>0</v>
      </c>
      <c r="D38" s="92">
        <v>0</v>
      </c>
      <c r="E38" s="92">
        <v>0</v>
      </c>
      <c r="F38" s="190">
        <v>0</v>
      </c>
      <c r="G38" s="208">
        <v>0</v>
      </c>
      <c r="H38" s="92">
        <v>0</v>
      </c>
      <c r="I38" s="92">
        <v>0</v>
      </c>
      <c r="J38" s="92">
        <v>0</v>
      </c>
      <c r="K38" s="214">
        <v>0</v>
      </c>
      <c r="L38" s="208">
        <f>+L13</f>
        <v>89</v>
      </c>
    </row>
    <row r="39" spans="1:12" s="8" customFormat="1" ht="15" customHeight="1" x14ac:dyDescent="0.25">
      <c r="A39" s="93" t="s">
        <v>7</v>
      </c>
      <c r="B39" s="360">
        <v>316.5</v>
      </c>
      <c r="C39" s="101">
        <f t="shared" ref="C39:H39" si="10">+C30-C32+C34+C35+C36+C37</f>
        <v>406.05</v>
      </c>
      <c r="D39" s="101">
        <f t="shared" si="10"/>
        <v>410</v>
      </c>
      <c r="E39" s="101">
        <f t="shared" si="10"/>
        <v>565.31000000000006</v>
      </c>
      <c r="F39" s="360">
        <f t="shared" si="10"/>
        <v>1697.92</v>
      </c>
      <c r="G39" s="360">
        <f t="shared" si="10"/>
        <v>357.79</v>
      </c>
      <c r="H39" s="101">
        <f t="shared" si="10"/>
        <v>437.78</v>
      </c>
      <c r="I39" s="101">
        <v>524.30000000000007</v>
      </c>
      <c r="J39" s="101">
        <f>+J30-J32+J34+J35+J36+J37</f>
        <v>634.89999999999986</v>
      </c>
      <c r="K39" s="383">
        <f>+K30-K32+K34+K35+K36+K37</f>
        <v>1954.6799999999998</v>
      </c>
      <c r="L39" s="360">
        <f>+L30-L32+L34+L35+L36+L37+L38</f>
        <v>426.90000000000015</v>
      </c>
    </row>
    <row r="40" spans="1:12" ht="3.75" customHeight="1" x14ac:dyDescent="0.25">
      <c r="A40" s="86"/>
      <c r="B40" s="309"/>
      <c r="C40" s="191"/>
      <c r="D40" s="52"/>
      <c r="E40" s="52"/>
      <c r="F40" s="309"/>
      <c r="G40" s="309"/>
      <c r="H40" s="191"/>
      <c r="I40" s="191"/>
      <c r="J40" s="191"/>
      <c r="K40" s="197"/>
      <c r="L40" s="309"/>
    </row>
    <row r="41" spans="1:12" x14ac:dyDescent="0.25">
      <c r="A41" s="86" t="s">
        <v>187</v>
      </c>
      <c r="B41" s="382">
        <v>339.69057900000001</v>
      </c>
      <c r="C41" s="305">
        <v>340.88260300000002</v>
      </c>
      <c r="D41" s="52">
        <v>341.2</v>
      </c>
      <c r="E41" s="52">
        <v>341.7</v>
      </c>
      <c r="F41" s="382">
        <v>340.8</v>
      </c>
      <c r="G41" s="382">
        <v>342.59</v>
      </c>
      <c r="H41" s="305">
        <v>343.5</v>
      </c>
      <c r="I41" s="305">
        <v>343.7</v>
      </c>
      <c r="J41" s="305">
        <v>342.7</v>
      </c>
      <c r="K41" s="381">
        <v>343.1</v>
      </c>
      <c r="L41" s="382">
        <v>340.2</v>
      </c>
    </row>
    <row r="42" spans="1:12" x14ac:dyDescent="0.25">
      <c r="A42" s="86" t="s">
        <v>186</v>
      </c>
      <c r="B42" s="380">
        <f t="shared" ref="B42:H42" si="11">+B30/B41</f>
        <v>0.40333765040919789</v>
      </c>
      <c r="C42" s="379">
        <f t="shared" si="11"/>
        <v>0.59190465639573864</v>
      </c>
      <c r="D42" s="379">
        <f t="shared" si="11"/>
        <v>0.58341148886283711</v>
      </c>
      <c r="E42" s="379">
        <f t="shared" si="11"/>
        <v>0.4659642961662277</v>
      </c>
      <c r="F42" s="380">
        <f t="shared" si="11"/>
        <v>2.0454812206572766</v>
      </c>
      <c r="G42" s="380">
        <f t="shared" si="11"/>
        <v>0.43868764412271227</v>
      </c>
      <c r="H42" s="379">
        <f t="shared" si="11"/>
        <v>0.66570596797671033</v>
      </c>
      <c r="I42" s="379">
        <v>0.8549228978760548</v>
      </c>
      <c r="J42" s="379">
        <f>+J30/J41</f>
        <v>1.149110008754012</v>
      </c>
      <c r="K42" s="378">
        <f>+K30/K41</f>
        <v>3.0987175750510048</v>
      </c>
      <c r="L42" s="380">
        <f t="shared" ref="L42" si="12">+L30/L41</f>
        <v>0.48324514991181711</v>
      </c>
    </row>
    <row r="43" spans="1:12" x14ac:dyDescent="0.25">
      <c r="A43" s="86"/>
      <c r="B43" s="309"/>
      <c r="C43" s="306"/>
      <c r="D43" s="43"/>
      <c r="E43" s="43"/>
      <c r="F43" s="377"/>
      <c r="K43" s="4"/>
      <c r="L43" s="413"/>
    </row>
    <row r="44" spans="1:12" x14ac:dyDescent="0.25">
      <c r="A44" s="93" t="s">
        <v>54</v>
      </c>
      <c r="B44" s="309"/>
      <c r="C44" s="306"/>
      <c r="D44" s="43"/>
      <c r="E44" s="43"/>
      <c r="F44" s="377"/>
      <c r="K44" s="4"/>
      <c r="L44" s="413"/>
    </row>
    <row r="45" spans="1:12" x14ac:dyDescent="0.25">
      <c r="A45" s="372" t="s">
        <v>198</v>
      </c>
      <c r="B45" s="371"/>
      <c r="C45" s="370"/>
      <c r="D45" s="370"/>
      <c r="E45" s="370"/>
      <c r="F45" s="369"/>
      <c r="G45" s="308"/>
      <c r="H45" s="308"/>
      <c r="I45" s="308"/>
      <c r="J45" s="308"/>
      <c r="K45" s="307"/>
      <c r="L45" s="308"/>
    </row>
    <row r="46" spans="1:12" x14ac:dyDescent="0.25">
      <c r="A46" s="93" t="s">
        <v>127</v>
      </c>
      <c r="B46" s="192">
        <v>0</v>
      </c>
      <c r="C46" s="191">
        <v>0</v>
      </c>
      <c r="D46" s="51">
        <v>0</v>
      </c>
      <c r="E46" s="51">
        <v>0</v>
      </c>
      <c r="F46" s="192">
        <f>+B46+C46+D46+E46</f>
        <v>0</v>
      </c>
      <c r="G46" s="192">
        <v>0</v>
      </c>
      <c r="H46" s="191">
        <v>0</v>
      </c>
      <c r="I46" s="191">
        <v>0</v>
      </c>
      <c r="J46" s="191">
        <v>0</v>
      </c>
      <c r="K46" s="197">
        <v>0</v>
      </c>
      <c r="L46" s="192">
        <v>0</v>
      </c>
    </row>
    <row r="47" spans="1:12" x14ac:dyDescent="0.25">
      <c r="A47" s="88" t="s">
        <v>13</v>
      </c>
      <c r="B47" s="190">
        <v>0</v>
      </c>
      <c r="C47" s="189">
        <v>0</v>
      </c>
      <c r="D47" s="92">
        <v>0</v>
      </c>
      <c r="E47" s="92">
        <v>0</v>
      </c>
      <c r="F47" s="190">
        <f>+B47+C47+D47+E47</f>
        <v>0</v>
      </c>
      <c r="G47" s="190">
        <v>0</v>
      </c>
      <c r="H47" s="189">
        <v>0</v>
      </c>
      <c r="I47" s="189">
        <v>0</v>
      </c>
      <c r="J47" s="189">
        <v>0</v>
      </c>
      <c r="K47" s="376">
        <v>0</v>
      </c>
      <c r="L47" s="190">
        <v>0</v>
      </c>
    </row>
    <row r="48" spans="1:12" x14ac:dyDescent="0.25">
      <c r="A48" s="93" t="s">
        <v>142</v>
      </c>
      <c r="B48" s="192">
        <f t="shared" ref="B48:C52" si="13">B88-B8</f>
        <v>0</v>
      </c>
      <c r="C48" s="191">
        <f t="shared" si="13"/>
        <v>0</v>
      </c>
      <c r="D48" s="51">
        <v>0</v>
      </c>
      <c r="E48" s="51">
        <v>0</v>
      </c>
      <c r="F48" s="192">
        <f>+F46+F47</f>
        <v>0</v>
      </c>
      <c r="G48" s="192">
        <f t="shared" ref="G48:H52" si="14">G88-G8</f>
        <v>0</v>
      </c>
      <c r="H48" s="191">
        <f t="shared" si="14"/>
        <v>0</v>
      </c>
      <c r="I48" s="191">
        <v>0</v>
      </c>
      <c r="J48" s="191">
        <v>0</v>
      </c>
      <c r="K48" s="197">
        <v>0</v>
      </c>
      <c r="L48" s="192">
        <v>0</v>
      </c>
    </row>
    <row r="49" spans="1:12" ht="3.75" customHeight="1" x14ac:dyDescent="0.25">
      <c r="A49" s="86"/>
      <c r="B49" s="192">
        <f t="shared" si="13"/>
        <v>0</v>
      </c>
      <c r="C49" s="191">
        <f t="shared" si="13"/>
        <v>0</v>
      </c>
      <c r="D49" s="51"/>
      <c r="E49" s="51"/>
      <c r="F49" s="192">
        <f>F89-F9</f>
        <v>0</v>
      </c>
      <c r="G49" s="192">
        <f t="shared" si="14"/>
        <v>0</v>
      </c>
      <c r="H49" s="191">
        <f t="shared" si="14"/>
        <v>0</v>
      </c>
      <c r="I49" s="191">
        <v>0</v>
      </c>
      <c r="J49" s="191"/>
      <c r="K49" s="197"/>
      <c r="L49" s="192">
        <f t="shared" ref="L49" si="15">L89-L9</f>
        <v>0</v>
      </c>
    </row>
    <row r="50" spans="1:12" x14ac:dyDescent="0.25">
      <c r="A50" s="86" t="s">
        <v>144</v>
      </c>
      <c r="B50" s="192">
        <f t="shared" si="13"/>
        <v>-9.9999999999909051E-2</v>
      </c>
      <c r="C50" s="191">
        <f t="shared" si="13"/>
        <v>-1</v>
      </c>
      <c r="D50" s="51">
        <v>0</v>
      </c>
      <c r="E50" s="51">
        <v>0</v>
      </c>
      <c r="F50" s="192">
        <f>+B50+C50+D50+E50</f>
        <v>-1.0999999999999091</v>
      </c>
      <c r="G50" s="192">
        <f t="shared" si="14"/>
        <v>0</v>
      </c>
      <c r="H50" s="191">
        <f t="shared" si="14"/>
        <v>0</v>
      </c>
      <c r="I50" s="191">
        <v>-0.1000000000003638</v>
      </c>
      <c r="J50" s="191">
        <v>-2.7</v>
      </c>
      <c r="K50" s="197">
        <f>+G50+H50+I50+J50</f>
        <v>-2.800000000000364</v>
      </c>
      <c r="L50" s="192">
        <v>-1.5</v>
      </c>
    </row>
    <row r="51" spans="1:12" x14ac:dyDescent="0.25">
      <c r="A51" s="86" t="s">
        <v>141</v>
      </c>
      <c r="B51" s="192">
        <f t="shared" si="13"/>
        <v>3.3899999999999864</v>
      </c>
      <c r="C51" s="191">
        <f t="shared" si="13"/>
        <v>-11.629999999999995</v>
      </c>
      <c r="D51" s="51">
        <v>-5.0999999999999996</v>
      </c>
      <c r="E51" s="51">
        <v>-4.4000000000000004</v>
      </c>
      <c r="F51" s="192">
        <f>+B51+C51+D51+E51</f>
        <v>-17.740000000000009</v>
      </c>
      <c r="G51" s="192">
        <f t="shared" si="14"/>
        <v>9.9600000000000364</v>
      </c>
      <c r="H51" s="191">
        <f t="shared" si="14"/>
        <v>-1.4800000000000182</v>
      </c>
      <c r="I51" s="191">
        <v>-31.5</v>
      </c>
      <c r="J51" s="191">
        <v>-24.900000000000002</v>
      </c>
      <c r="K51" s="197">
        <f>+G51+H51+I51+J51</f>
        <v>-47.919999999999987</v>
      </c>
      <c r="L51" s="192">
        <v>-21.6</v>
      </c>
    </row>
    <row r="52" spans="1:12" x14ac:dyDescent="0.25">
      <c r="A52" s="435" t="s">
        <v>140</v>
      </c>
      <c r="B52" s="192">
        <f t="shared" si="13"/>
        <v>-27.040000000000006</v>
      </c>
      <c r="C52" s="416">
        <f t="shared" si="13"/>
        <v>-27.33</v>
      </c>
      <c r="D52" s="438">
        <v>-28.2</v>
      </c>
      <c r="E52" s="438">
        <v>-30.4</v>
      </c>
      <c r="F52" s="197">
        <f>+B52+C52+D52+E52+0.1</f>
        <v>-112.87</v>
      </c>
      <c r="G52" s="192">
        <f t="shared" si="14"/>
        <v>-28.97</v>
      </c>
      <c r="H52" s="416">
        <f t="shared" si="14"/>
        <v>-29.400000000000006</v>
      </c>
      <c r="I52" s="416">
        <v>-28.200000000000003</v>
      </c>
      <c r="J52" s="416">
        <v>-26.5</v>
      </c>
      <c r="K52" s="197">
        <f>+G52+H52+I52+J52</f>
        <v>-113.07000000000001</v>
      </c>
      <c r="L52" s="192">
        <v>-22.2</v>
      </c>
    </row>
    <row r="53" spans="1:12" s="413" customFormat="1" x14ac:dyDescent="0.25">
      <c r="A53" s="88" t="s">
        <v>211</v>
      </c>
      <c r="B53" s="190">
        <v>0</v>
      </c>
      <c r="C53" s="189">
        <v>0</v>
      </c>
      <c r="D53" s="92">
        <v>0</v>
      </c>
      <c r="E53" s="92">
        <v>0</v>
      </c>
      <c r="F53" s="190">
        <v>0</v>
      </c>
      <c r="G53" s="190">
        <v>0</v>
      </c>
      <c r="H53" s="189">
        <v>0</v>
      </c>
      <c r="I53" s="189">
        <v>0</v>
      </c>
      <c r="J53" s="189">
        <v>0</v>
      </c>
      <c r="K53" s="376">
        <v>0</v>
      </c>
      <c r="L53" s="190">
        <v>-89</v>
      </c>
    </row>
    <row r="54" spans="1:12" x14ac:dyDescent="0.25">
      <c r="A54" s="86" t="s">
        <v>3</v>
      </c>
      <c r="B54" s="192">
        <f t="shared" ref="B54:H54" si="16">+B50+B51+B52</f>
        <v>-23.749999999999929</v>
      </c>
      <c r="C54" s="191">
        <f t="shared" si="16"/>
        <v>-39.959999999999994</v>
      </c>
      <c r="D54" s="191">
        <f t="shared" si="16"/>
        <v>-33.299999999999997</v>
      </c>
      <c r="E54" s="191">
        <f t="shared" si="16"/>
        <v>-34.799999999999997</v>
      </c>
      <c r="F54" s="192">
        <f t="shared" si="16"/>
        <v>-131.70999999999992</v>
      </c>
      <c r="G54" s="192">
        <f t="shared" si="16"/>
        <v>-19.009999999999962</v>
      </c>
      <c r="H54" s="191">
        <f t="shared" si="16"/>
        <v>-30.880000000000024</v>
      </c>
      <c r="I54" s="191">
        <v>-59.800000000000367</v>
      </c>
      <c r="J54" s="191">
        <f>+J50+J51+J52</f>
        <v>-54.1</v>
      </c>
      <c r="K54" s="197">
        <f>+K50+K51+K52</f>
        <v>-163.79000000000036</v>
      </c>
      <c r="L54" s="192">
        <f>+L50+L51+L52+L53</f>
        <v>-134.30000000000001</v>
      </c>
    </row>
    <row r="55" spans="1:12" ht="3.4" customHeight="1" x14ac:dyDescent="0.25">
      <c r="A55" s="86"/>
      <c r="B55" s="192" t="s">
        <v>54</v>
      </c>
      <c r="C55" s="191" t="s">
        <v>54</v>
      </c>
      <c r="D55" s="51" t="s">
        <v>54</v>
      </c>
      <c r="E55" s="51" t="s">
        <v>54</v>
      </c>
      <c r="F55" s="192" t="s">
        <v>54</v>
      </c>
      <c r="G55" s="192" t="s">
        <v>54</v>
      </c>
      <c r="H55" s="191" t="s">
        <v>54</v>
      </c>
      <c r="I55" s="191" t="s">
        <v>54</v>
      </c>
      <c r="J55" s="191"/>
      <c r="K55" s="197"/>
      <c r="L55" s="192" t="s">
        <v>54</v>
      </c>
    </row>
    <row r="56" spans="1:12" x14ac:dyDescent="0.25">
      <c r="A56" s="86" t="s">
        <v>4</v>
      </c>
      <c r="B56" s="192">
        <f>B95-B16</f>
        <v>0</v>
      </c>
      <c r="C56" s="191">
        <f>C95-C16</f>
        <v>0</v>
      </c>
      <c r="D56" s="51">
        <v>0</v>
      </c>
      <c r="E56" s="51">
        <v>0</v>
      </c>
      <c r="F56" s="192">
        <f>+B56+C56+D56+E56</f>
        <v>0</v>
      </c>
      <c r="G56" s="192">
        <v>0</v>
      </c>
      <c r="H56" s="191">
        <f>H95-H16</f>
        <v>0</v>
      </c>
      <c r="I56" s="191">
        <v>0</v>
      </c>
      <c r="J56" s="191">
        <v>0</v>
      </c>
      <c r="K56" s="197">
        <v>0</v>
      </c>
      <c r="L56" s="192">
        <v>0</v>
      </c>
    </row>
    <row r="57" spans="1:12" ht="3.4" customHeight="1" x14ac:dyDescent="0.25">
      <c r="A57" s="86"/>
      <c r="B57" s="192"/>
      <c r="C57" s="191"/>
      <c r="D57" s="51"/>
      <c r="E57" s="51"/>
      <c r="F57" s="192">
        <f>+B57+C57+D57+E57</f>
        <v>0</v>
      </c>
      <c r="G57" s="192"/>
      <c r="H57" s="191"/>
      <c r="I57" s="191"/>
      <c r="J57" s="191"/>
      <c r="K57" s="197"/>
      <c r="L57" s="192"/>
    </row>
    <row r="58" spans="1:12" x14ac:dyDescent="0.25">
      <c r="A58" s="86" t="s">
        <v>5</v>
      </c>
      <c r="B58" s="192">
        <v>23.7</v>
      </c>
      <c r="C58" s="191">
        <f>C97-C18</f>
        <v>39.94999999999996</v>
      </c>
      <c r="D58" s="51">
        <f>+D48-D54</f>
        <v>33.299999999999997</v>
      </c>
      <c r="E58" s="51">
        <f>+E48-E54</f>
        <v>34.799999999999997</v>
      </c>
      <c r="F58" s="192">
        <f>-F54</f>
        <v>131.70999999999992</v>
      </c>
      <c r="G58" s="192">
        <f t="shared" ref="G58:H61" si="17">G97-G18</f>
        <v>19</v>
      </c>
      <c r="H58" s="191">
        <f t="shared" si="17"/>
        <v>30.879999999999995</v>
      </c>
      <c r="I58" s="191">
        <v>59.800000000000182</v>
      </c>
      <c r="J58" s="191">
        <f>+J48-J54</f>
        <v>54.1</v>
      </c>
      <c r="K58" s="197">
        <f>+K48-K54</f>
        <v>163.79000000000036</v>
      </c>
      <c r="L58" s="192">
        <f>+L48-L54+L56</f>
        <v>134.30000000000001</v>
      </c>
    </row>
    <row r="59" spans="1:12" ht="3.75" customHeight="1" x14ac:dyDescent="0.25">
      <c r="A59" s="86"/>
      <c r="B59" s="192">
        <f>B98-B19</f>
        <v>0</v>
      </c>
      <c r="C59" s="191">
        <f>C98-C19</f>
        <v>0</v>
      </c>
      <c r="D59" s="51"/>
      <c r="E59" s="51"/>
      <c r="F59" s="192">
        <f t="shared" ref="F59:F64" si="18">+B59+C59+D59+E59</f>
        <v>0</v>
      </c>
      <c r="G59" s="192">
        <f t="shared" si="17"/>
        <v>0</v>
      </c>
      <c r="H59" s="191">
        <f t="shared" si="17"/>
        <v>0</v>
      </c>
      <c r="I59" s="191">
        <v>0</v>
      </c>
      <c r="J59" s="191"/>
      <c r="K59" s="197"/>
      <c r="L59" s="192">
        <f>L98-L19</f>
        <v>0</v>
      </c>
    </row>
    <row r="60" spans="1:12" x14ac:dyDescent="0.25">
      <c r="A60" s="86" t="s">
        <v>139</v>
      </c>
      <c r="B60" s="192">
        <f>B99-B20</f>
        <v>0</v>
      </c>
      <c r="C60" s="191">
        <f>C99-C20</f>
        <v>0</v>
      </c>
      <c r="D60" s="51">
        <v>0</v>
      </c>
      <c r="E60" s="51">
        <v>0</v>
      </c>
      <c r="F60" s="192">
        <f t="shared" si="18"/>
        <v>0</v>
      </c>
      <c r="G60" s="192">
        <f t="shared" si="17"/>
        <v>0</v>
      </c>
      <c r="H60" s="191">
        <f t="shared" si="17"/>
        <v>0</v>
      </c>
      <c r="I60" s="191">
        <v>0</v>
      </c>
      <c r="J60" s="191">
        <v>0</v>
      </c>
      <c r="K60" s="197">
        <v>0</v>
      </c>
      <c r="L60" s="192">
        <v>0</v>
      </c>
    </row>
    <row r="61" spans="1:12" x14ac:dyDescent="0.25">
      <c r="A61" s="86" t="s">
        <v>6</v>
      </c>
      <c r="B61" s="192">
        <f>B100-B21</f>
        <v>0</v>
      </c>
      <c r="C61" s="191">
        <f>C100-C21</f>
        <v>0</v>
      </c>
      <c r="D61" s="51">
        <v>0</v>
      </c>
      <c r="E61" s="51">
        <v>0</v>
      </c>
      <c r="F61" s="192">
        <f t="shared" si="18"/>
        <v>0</v>
      </c>
      <c r="G61" s="192">
        <f t="shared" si="17"/>
        <v>0</v>
      </c>
      <c r="H61" s="191">
        <f t="shared" si="17"/>
        <v>0</v>
      </c>
      <c r="I61" s="191">
        <v>-92.6</v>
      </c>
      <c r="J61" s="191">
        <v>-7.8</v>
      </c>
      <c r="K61" s="197">
        <f>+G61+H61+I61+J61</f>
        <v>-100.39999999999999</v>
      </c>
      <c r="L61" s="192">
        <v>0</v>
      </c>
    </row>
    <row r="62" spans="1:12" x14ac:dyDescent="0.25">
      <c r="A62" s="86" t="s">
        <v>16</v>
      </c>
      <c r="B62" s="192">
        <v>0</v>
      </c>
      <c r="C62" s="191">
        <f>C101-C22</f>
        <v>0</v>
      </c>
      <c r="D62" s="51">
        <v>0</v>
      </c>
      <c r="E62" s="51">
        <v>0</v>
      </c>
      <c r="F62" s="192">
        <f t="shared" si="18"/>
        <v>0</v>
      </c>
      <c r="G62" s="192">
        <v>0</v>
      </c>
      <c r="H62" s="191">
        <f>H101-H22</f>
        <v>0</v>
      </c>
      <c r="I62" s="191">
        <v>0</v>
      </c>
      <c r="J62" s="191">
        <v>0</v>
      </c>
      <c r="K62" s="197">
        <v>0</v>
      </c>
      <c r="L62" s="192">
        <v>0</v>
      </c>
    </row>
    <row r="63" spans="1:12" x14ac:dyDescent="0.25">
      <c r="A63" s="86" t="s">
        <v>17</v>
      </c>
      <c r="B63" s="192">
        <v>0</v>
      </c>
      <c r="C63" s="191">
        <v>0</v>
      </c>
      <c r="D63" s="51">
        <v>0</v>
      </c>
      <c r="E63" s="51">
        <v>0</v>
      </c>
      <c r="F63" s="192">
        <f t="shared" si="18"/>
        <v>0</v>
      </c>
      <c r="G63" s="192">
        <v>0</v>
      </c>
      <c r="H63" s="191">
        <v>0</v>
      </c>
      <c r="I63" s="191">
        <v>0</v>
      </c>
      <c r="J63" s="191">
        <v>0</v>
      </c>
      <c r="K63" s="197">
        <v>0</v>
      </c>
      <c r="L63" s="192">
        <v>0</v>
      </c>
    </row>
    <row r="64" spans="1:12" x14ac:dyDescent="0.25">
      <c r="A64" s="86" t="str">
        <f>+A24</f>
        <v>Write-off of financing costs on extinguished debt</v>
      </c>
      <c r="B64" s="192">
        <v>0</v>
      </c>
      <c r="C64" s="191">
        <v>0</v>
      </c>
      <c r="D64" s="51">
        <v>0</v>
      </c>
      <c r="E64" s="51">
        <v>0</v>
      </c>
      <c r="F64" s="192">
        <f t="shared" si="18"/>
        <v>0</v>
      </c>
      <c r="G64" s="192">
        <f>-G24</f>
        <v>-27.98</v>
      </c>
      <c r="H64" s="191">
        <v>0</v>
      </c>
      <c r="I64" s="191">
        <v>0</v>
      </c>
      <c r="J64" s="191">
        <v>0</v>
      </c>
      <c r="K64" s="197">
        <f>+G64+H64+I64+J64</f>
        <v>-27.98</v>
      </c>
      <c r="L64" s="192">
        <f>-L24</f>
        <v>-2.6</v>
      </c>
    </row>
    <row r="65" spans="1:12" x14ac:dyDescent="0.25">
      <c r="A65" s="88" t="s">
        <v>193</v>
      </c>
      <c r="B65" s="190">
        <v>23.7</v>
      </c>
      <c r="C65" s="189">
        <f>C103-C25</f>
        <v>39.960000000000036</v>
      </c>
      <c r="D65" s="92">
        <f>+D58</f>
        <v>33.299999999999997</v>
      </c>
      <c r="E65" s="92">
        <f>+E58</f>
        <v>34.799999999999997</v>
      </c>
      <c r="F65" s="190">
        <f>+F58</f>
        <v>131.70999999999992</v>
      </c>
      <c r="G65" s="190">
        <f>G103-G25</f>
        <v>47.010000000000019</v>
      </c>
      <c r="H65" s="189">
        <f>H103-H25</f>
        <v>30.920000000000016</v>
      </c>
      <c r="I65" s="189">
        <v>-32.799999999999841</v>
      </c>
      <c r="J65" s="189">
        <f>+J58+J61</f>
        <v>46.300000000000004</v>
      </c>
      <c r="K65" s="376">
        <f>+G65+H65+I65+J65</f>
        <v>91.430000000000206</v>
      </c>
      <c r="L65" s="190">
        <f>+L58+L60+L61+L62-L63-L64</f>
        <v>136.9</v>
      </c>
    </row>
    <row r="66" spans="1:12" x14ac:dyDescent="0.25">
      <c r="A66" s="86" t="s">
        <v>188</v>
      </c>
      <c r="B66" s="192">
        <f>B104-B26</f>
        <v>8.3800000000000026</v>
      </c>
      <c r="C66" s="191">
        <f>C104-C26</f>
        <v>14.790000000000006</v>
      </c>
      <c r="D66" s="51">
        <v>10.199999999999999</v>
      </c>
      <c r="E66" s="51">
        <f>-143.4+8.7</f>
        <v>-134.70000000000002</v>
      </c>
      <c r="F66" s="192">
        <f>F104-F26</f>
        <v>-101.23000000000002</v>
      </c>
      <c r="G66" s="192">
        <f>G104-G26</f>
        <v>11.100000000000001</v>
      </c>
      <c r="H66" s="191">
        <f>H104-H26</f>
        <v>6.980000000000004</v>
      </c>
      <c r="I66" s="191">
        <v>-12.299999999999997</v>
      </c>
      <c r="J66" s="191">
        <v>25.099999999999998</v>
      </c>
      <c r="K66" s="197">
        <f>+G66+H66+I66+J66</f>
        <v>30.880000000000006</v>
      </c>
      <c r="L66" s="192">
        <f>+'Operating Results'!I26</f>
        <v>33.799999999999997</v>
      </c>
    </row>
    <row r="67" spans="1:12" x14ac:dyDescent="0.25">
      <c r="A67" s="88" t="s">
        <v>192</v>
      </c>
      <c r="B67" s="271">
        <v>0.35399999999999998</v>
      </c>
      <c r="C67" s="368">
        <f>C66/(C65-C69)</f>
        <v>0.37012012012011997</v>
      </c>
      <c r="D67" s="368">
        <f>D66/(D65-D69)</f>
        <v>0.30630630630630629</v>
      </c>
      <c r="E67" s="368" t="s">
        <v>182</v>
      </c>
      <c r="F67" s="271">
        <f>F66/(F65-F69)</f>
        <v>-0.76858249183812977</v>
      </c>
      <c r="G67" s="271">
        <v>0.23599999999999999</v>
      </c>
      <c r="H67" s="368">
        <f>+H136</f>
        <v>0.2257438551099612</v>
      </c>
      <c r="I67" s="368">
        <v>0.37500000000000172</v>
      </c>
      <c r="J67" s="368">
        <f>+J136</f>
        <v>0.5421166306695463</v>
      </c>
      <c r="K67" s="367">
        <f>+K136</f>
        <v>0.33774472273870654</v>
      </c>
      <c r="L67" s="271">
        <f>+L136</f>
        <v>0.24689554419284146</v>
      </c>
    </row>
    <row r="68" spans="1:12" x14ac:dyDescent="0.25">
      <c r="A68" s="86" t="s">
        <v>191</v>
      </c>
      <c r="B68" s="50">
        <f>+B65-B66</f>
        <v>15.319999999999997</v>
      </c>
      <c r="C68" s="51">
        <f>C106-C28</f>
        <v>25.170000000000016</v>
      </c>
      <c r="D68" s="51">
        <f>+D65-D66</f>
        <v>23.099999999999998</v>
      </c>
      <c r="E68" s="51">
        <f>+E65-E66</f>
        <v>169.5</v>
      </c>
      <c r="F68" s="50">
        <f>+F65-F66</f>
        <v>232.93999999999994</v>
      </c>
      <c r="G68" s="50">
        <f>G106-G28</f>
        <v>35.910000000000025</v>
      </c>
      <c r="H68" s="51">
        <f>H106-H28</f>
        <v>23.889999999999986</v>
      </c>
      <c r="I68" s="51">
        <v>-20.499999999999886</v>
      </c>
      <c r="J68" s="51">
        <f>+J65-J66</f>
        <v>21.200000000000006</v>
      </c>
      <c r="K68" s="174">
        <f>+K65-K66</f>
        <v>60.550000000000196</v>
      </c>
      <c r="L68" s="50">
        <f>+L65-L66</f>
        <v>103.10000000000001</v>
      </c>
    </row>
    <row r="69" spans="1:12" x14ac:dyDescent="0.25">
      <c r="A69" s="86" t="s">
        <v>197</v>
      </c>
      <c r="B69" s="50">
        <f>B107-B29</f>
        <v>0</v>
      </c>
      <c r="C69" s="51">
        <f>C107-C29</f>
        <v>0</v>
      </c>
      <c r="D69" s="51">
        <v>0</v>
      </c>
      <c r="E69" s="51">
        <v>0</v>
      </c>
      <c r="F69" s="50">
        <f>+B69+C69+D69+E69</f>
        <v>0</v>
      </c>
      <c r="G69" s="50">
        <f>G107-G29</f>
        <v>0</v>
      </c>
      <c r="H69" s="51">
        <f>H107-H29</f>
        <v>0</v>
      </c>
      <c r="I69" s="51">
        <v>0</v>
      </c>
      <c r="J69" s="92">
        <v>0</v>
      </c>
      <c r="K69" s="214">
        <v>0</v>
      </c>
      <c r="L69" s="50">
        <v>0</v>
      </c>
    </row>
    <row r="70" spans="1:12" s="8" customFormat="1" ht="17.649999999999999" customHeight="1" thickBot="1" x14ac:dyDescent="0.3">
      <c r="A70" s="364" t="s">
        <v>196</v>
      </c>
      <c r="B70" s="363">
        <f>+B68+B69</f>
        <v>15.319999999999997</v>
      </c>
      <c r="C70" s="362">
        <f>C108-C30</f>
        <v>25.170000000000016</v>
      </c>
      <c r="D70" s="362">
        <f>+D68-D69</f>
        <v>23.099999999999998</v>
      </c>
      <c r="E70" s="362">
        <f>+E68-E69</f>
        <v>169.5</v>
      </c>
      <c r="F70" s="363">
        <f>+F68</f>
        <v>232.93999999999994</v>
      </c>
      <c r="G70" s="363">
        <f>G108-G30</f>
        <v>35.910000000000025</v>
      </c>
      <c r="H70" s="362">
        <f>+H68-H69</f>
        <v>23.889999999999986</v>
      </c>
      <c r="I70" s="362">
        <v>-20.499999999999886</v>
      </c>
      <c r="J70" s="362">
        <f>+J68</f>
        <v>21.200000000000006</v>
      </c>
      <c r="K70" s="361">
        <f>+K68</f>
        <v>60.550000000000196</v>
      </c>
      <c r="L70" s="363">
        <f>+L68+L69</f>
        <v>103.10000000000001</v>
      </c>
    </row>
    <row r="71" spans="1:12" ht="4.1500000000000004" customHeight="1" thickTop="1" x14ac:dyDescent="0.25">
      <c r="A71" s="86"/>
      <c r="B71" s="50" t="s">
        <v>54</v>
      </c>
      <c r="C71" s="51" t="s">
        <v>54</v>
      </c>
      <c r="D71" s="51"/>
      <c r="E71" s="51"/>
      <c r="F71" s="50" t="s">
        <v>54</v>
      </c>
      <c r="G71" s="50" t="s">
        <v>54</v>
      </c>
      <c r="H71" s="51" t="s">
        <v>54</v>
      </c>
      <c r="I71" s="51" t="s">
        <v>54</v>
      </c>
      <c r="J71" s="51"/>
      <c r="K71" s="174"/>
      <c r="L71" s="50" t="s">
        <v>54</v>
      </c>
    </row>
    <row r="72" spans="1:12" ht="15" customHeight="1" x14ac:dyDescent="0.25">
      <c r="A72" s="86" t="s">
        <v>189</v>
      </c>
      <c r="B72" s="50">
        <v>0</v>
      </c>
      <c r="C72" s="51">
        <v>0</v>
      </c>
      <c r="D72" s="51">
        <v>0</v>
      </c>
      <c r="E72" s="51">
        <v>0</v>
      </c>
      <c r="F72" s="50">
        <v>0</v>
      </c>
      <c r="G72" s="50">
        <v>0</v>
      </c>
      <c r="H72" s="51">
        <v>0</v>
      </c>
      <c r="I72" s="51">
        <v>0</v>
      </c>
      <c r="J72" s="51">
        <v>0</v>
      </c>
      <c r="K72" s="174">
        <v>0</v>
      </c>
      <c r="L72" s="50">
        <v>0</v>
      </c>
    </row>
    <row r="73" spans="1:12" s="468" customFormat="1" ht="15" customHeight="1" x14ac:dyDescent="0.25">
      <c r="A73" s="86" t="s">
        <v>87</v>
      </c>
      <c r="B73" s="50"/>
      <c r="C73" s="51"/>
      <c r="D73" s="51"/>
      <c r="E73" s="51"/>
      <c r="F73" s="50"/>
      <c r="G73" s="50"/>
      <c r="H73" s="51"/>
      <c r="I73" s="51"/>
      <c r="J73" s="51"/>
      <c r="K73" s="174"/>
      <c r="L73" s="50"/>
    </row>
    <row r="74" spans="1:12" ht="15" customHeight="1" x14ac:dyDescent="0.25">
      <c r="A74" s="86" t="s">
        <v>17</v>
      </c>
      <c r="B74" s="50">
        <v>0</v>
      </c>
      <c r="C74" s="51">
        <v>0</v>
      </c>
      <c r="D74" s="51">
        <v>0</v>
      </c>
      <c r="E74" s="51">
        <v>0</v>
      </c>
      <c r="F74" s="50">
        <v>0</v>
      </c>
      <c r="G74" s="50">
        <v>0</v>
      </c>
      <c r="H74" s="51">
        <v>0</v>
      </c>
      <c r="I74" s="51">
        <v>0</v>
      </c>
      <c r="J74" s="51">
        <v>0</v>
      </c>
      <c r="K74" s="174">
        <v>0</v>
      </c>
      <c r="L74" s="50">
        <v>0</v>
      </c>
    </row>
    <row r="75" spans="1:12" ht="15" customHeight="1" x14ac:dyDescent="0.25">
      <c r="A75" s="86" t="s">
        <v>188</v>
      </c>
      <c r="B75" s="50">
        <f>B113-B36</f>
        <v>8.3800000000000026</v>
      </c>
      <c r="C75" s="51">
        <f>C113-C36</f>
        <v>14.790000000000006</v>
      </c>
      <c r="D75" s="51">
        <f>+D66</f>
        <v>10.199999999999999</v>
      </c>
      <c r="E75" s="51">
        <f>+E66</f>
        <v>-134.70000000000002</v>
      </c>
      <c r="F75" s="50">
        <f>+F66</f>
        <v>-101.23000000000002</v>
      </c>
      <c r="G75" s="50">
        <f>G113-G36</f>
        <v>11.100000000000001</v>
      </c>
      <c r="H75" s="51">
        <f>H113-H36</f>
        <v>6.980000000000004</v>
      </c>
      <c r="I75" s="51">
        <v>-12.299999999999997</v>
      </c>
      <c r="J75" s="51">
        <f>+J66</f>
        <v>25.099999999999998</v>
      </c>
      <c r="K75" s="174">
        <f>+G75+H75+I75+J75</f>
        <v>30.880000000000006</v>
      </c>
      <c r="L75" s="50">
        <f>+L66</f>
        <v>33.799999999999997</v>
      </c>
    </row>
    <row r="76" spans="1:12" ht="15" customHeight="1" x14ac:dyDescent="0.25">
      <c r="A76" s="86" t="str">
        <f>+A64</f>
        <v>Write-off of financing costs on extinguished debt</v>
      </c>
      <c r="B76" s="50">
        <v>0</v>
      </c>
      <c r="C76" s="51">
        <v>0</v>
      </c>
      <c r="D76" s="51">
        <v>0</v>
      </c>
      <c r="E76" s="51">
        <v>0</v>
      </c>
      <c r="F76" s="50">
        <f>+B76+C76+D76+E76</f>
        <v>0</v>
      </c>
      <c r="G76" s="50">
        <f>G64</f>
        <v>-27.98</v>
      </c>
      <c r="H76" s="51">
        <v>0</v>
      </c>
      <c r="I76" s="51">
        <v>0</v>
      </c>
      <c r="J76" s="51">
        <v>0</v>
      </c>
      <c r="K76" s="174">
        <f>+G76+H76+I76+J76</f>
        <v>-27.98</v>
      </c>
      <c r="L76" s="50">
        <f>L64</f>
        <v>-2.6</v>
      </c>
    </row>
    <row r="77" spans="1:12" ht="15" customHeight="1" x14ac:dyDescent="0.25">
      <c r="A77" s="435" t="s">
        <v>140</v>
      </c>
      <c r="B77" s="50">
        <f>B114-B37</f>
        <v>-27.040000000000006</v>
      </c>
      <c r="C77" s="438">
        <f>C114-C37</f>
        <v>-27.33</v>
      </c>
      <c r="D77" s="438">
        <f>+D52</f>
        <v>-28.2</v>
      </c>
      <c r="E77" s="438">
        <f>+E52</f>
        <v>-30.4</v>
      </c>
      <c r="F77" s="50">
        <f>+F52</f>
        <v>-112.87</v>
      </c>
      <c r="G77" s="50">
        <f>G114-G37</f>
        <v>-29</v>
      </c>
      <c r="H77" s="438">
        <f>H114-H37</f>
        <v>-29.440000000000012</v>
      </c>
      <c r="I77" s="438">
        <v>-28.200000000000003</v>
      </c>
      <c r="J77" s="438">
        <f>+J52</f>
        <v>-26.5</v>
      </c>
      <c r="K77" s="50">
        <f>+G77+H77+I77+J77</f>
        <v>-113.14000000000001</v>
      </c>
      <c r="L77" s="50">
        <f>+L52</f>
        <v>-22.2</v>
      </c>
    </row>
    <row r="78" spans="1:12" s="413" customFormat="1" ht="15" customHeight="1" x14ac:dyDescent="0.25">
      <c r="A78" s="88" t="s">
        <v>211</v>
      </c>
      <c r="B78" s="208">
        <v>0</v>
      </c>
      <c r="C78" s="92">
        <v>0</v>
      </c>
      <c r="D78" s="92">
        <v>0</v>
      </c>
      <c r="E78" s="92">
        <v>0</v>
      </c>
      <c r="F78" s="208">
        <v>0</v>
      </c>
      <c r="G78" s="208">
        <v>0</v>
      </c>
      <c r="H78" s="92">
        <v>0</v>
      </c>
      <c r="I78" s="92">
        <v>0</v>
      </c>
      <c r="J78" s="92">
        <v>0</v>
      </c>
      <c r="K78" s="214">
        <v>0</v>
      </c>
      <c r="L78" s="208">
        <f>+L53</f>
        <v>-89</v>
      </c>
    </row>
    <row r="79" spans="1:12" s="8" customFormat="1" ht="15" customHeight="1" x14ac:dyDescent="0.25">
      <c r="A79" s="93" t="s">
        <v>195</v>
      </c>
      <c r="B79" s="360">
        <f t="shared" ref="B79:H79" si="19">+B70+B75+B76+B77</f>
        <v>-3.340000000000007</v>
      </c>
      <c r="C79" s="101">
        <f t="shared" si="19"/>
        <v>12.630000000000024</v>
      </c>
      <c r="D79" s="101">
        <f t="shared" si="19"/>
        <v>5.0999999999999979</v>
      </c>
      <c r="E79" s="101">
        <f t="shared" si="19"/>
        <v>4.3999999999999844</v>
      </c>
      <c r="F79" s="360">
        <f t="shared" si="19"/>
        <v>18.839999999999918</v>
      </c>
      <c r="G79" s="360">
        <f t="shared" si="19"/>
        <v>-9.969999999999974</v>
      </c>
      <c r="H79" s="101">
        <f t="shared" si="19"/>
        <v>1.4299999999999784</v>
      </c>
      <c r="I79" s="101">
        <v>-60.999999999999886</v>
      </c>
      <c r="J79" s="101">
        <f>+J70+J75+J76+J77</f>
        <v>19.800000000000004</v>
      </c>
      <c r="K79" s="359">
        <f>+K70+K75+K76+K77</f>
        <v>-49.689999999999813</v>
      </c>
      <c r="L79" s="360">
        <f>+L70+L75+L76+L77+L78</f>
        <v>23.100000000000009</v>
      </c>
    </row>
    <row r="80" spans="1:12" ht="3.75" customHeight="1" x14ac:dyDescent="0.25">
      <c r="A80" s="86"/>
      <c r="B80" s="58"/>
      <c r="C80" s="51"/>
      <c r="D80" s="52"/>
      <c r="E80" s="52"/>
      <c r="F80" s="58"/>
      <c r="G80" s="58"/>
      <c r="H80" s="51"/>
      <c r="I80" s="51"/>
      <c r="J80" s="51"/>
      <c r="K80" s="174"/>
      <c r="L80" s="58"/>
    </row>
    <row r="81" spans="1:12" x14ac:dyDescent="0.25">
      <c r="A81" s="86" t="s">
        <v>187</v>
      </c>
      <c r="B81" s="58">
        <v>339.69057900000001</v>
      </c>
      <c r="C81" s="51">
        <v>340.88260300000002</v>
      </c>
      <c r="D81" s="52">
        <v>341.2</v>
      </c>
      <c r="E81" s="52">
        <v>341.7</v>
      </c>
      <c r="F81" s="58">
        <v>340.8</v>
      </c>
      <c r="G81" s="58">
        <v>342.6</v>
      </c>
      <c r="H81" s="51">
        <f>+H41</f>
        <v>343.5</v>
      </c>
      <c r="I81" s="51">
        <v>343.7</v>
      </c>
      <c r="J81" s="51">
        <f>+J41</f>
        <v>342.7</v>
      </c>
      <c r="K81" s="176">
        <f>+K41</f>
        <v>343.1</v>
      </c>
      <c r="L81" s="58">
        <f>+L41</f>
        <v>340.2</v>
      </c>
    </row>
    <row r="82" spans="1:12" ht="17.649999999999999" customHeight="1" x14ac:dyDescent="0.25">
      <c r="A82" s="86" t="s">
        <v>194</v>
      </c>
      <c r="B82" s="375">
        <f t="shared" ref="B82:H82" si="20">+B70/B81</f>
        <v>4.509986719413845E-2</v>
      </c>
      <c r="C82" s="374">
        <f t="shared" si="20"/>
        <v>7.3837737034647133E-2</v>
      </c>
      <c r="D82" s="374">
        <f t="shared" si="20"/>
        <v>6.7702227432590856E-2</v>
      </c>
      <c r="E82" s="374">
        <f t="shared" si="20"/>
        <v>0.49604916593503073</v>
      </c>
      <c r="F82" s="375">
        <f t="shared" si="20"/>
        <v>0.68350938967136132</v>
      </c>
      <c r="G82" s="375">
        <f t="shared" si="20"/>
        <v>0.10481611208406311</v>
      </c>
      <c r="H82" s="374">
        <f t="shared" si="20"/>
        <v>6.9548762736535624E-2</v>
      </c>
      <c r="I82" s="374">
        <v>-5.9645039278440171E-2</v>
      </c>
      <c r="J82" s="374">
        <f>+J70/J81</f>
        <v>6.1861686606361273E-2</v>
      </c>
      <c r="K82" s="373">
        <f>+K70/K81</f>
        <v>0.17647916059457941</v>
      </c>
      <c r="L82" s="375">
        <f>+L70/L81</f>
        <v>0.30305702527924755</v>
      </c>
    </row>
    <row r="83" spans="1:12" x14ac:dyDescent="0.25">
      <c r="A83" s="86"/>
      <c r="B83" s="77"/>
      <c r="C83" s="43"/>
      <c r="D83" s="43"/>
      <c r="E83" s="43"/>
      <c r="F83" s="159"/>
      <c r="K83" s="4"/>
      <c r="L83" s="486"/>
    </row>
    <row r="84" spans="1:12" x14ac:dyDescent="0.25">
      <c r="A84" s="93" t="s">
        <v>54</v>
      </c>
      <c r="B84" s="77"/>
      <c r="C84" s="43"/>
      <c r="D84" s="43"/>
      <c r="E84" s="43"/>
      <c r="F84" s="159"/>
      <c r="K84" s="4"/>
      <c r="L84" s="413"/>
    </row>
    <row r="85" spans="1:12" x14ac:dyDescent="0.25">
      <c r="A85" s="372" t="s">
        <v>181</v>
      </c>
      <c r="B85" s="371"/>
      <c r="C85" s="370"/>
      <c r="D85" s="370"/>
      <c r="E85" s="370"/>
      <c r="F85" s="369"/>
      <c r="G85" s="308"/>
      <c r="H85" s="308"/>
      <c r="I85" s="308"/>
      <c r="J85" s="308"/>
      <c r="K85" s="307"/>
      <c r="L85" s="308"/>
    </row>
    <row r="86" spans="1:12" x14ac:dyDescent="0.25">
      <c r="A86" s="93" t="s">
        <v>127</v>
      </c>
      <c r="B86" s="360">
        <v>1933.85</v>
      </c>
      <c r="C86" s="101">
        <v>2200.9499999999998</v>
      </c>
      <c r="D86" s="101">
        <v>2328.36</v>
      </c>
      <c r="E86" s="101">
        <v>2945.87</v>
      </c>
      <c r="F86" s="360">
        <v>9409.0400000000009</v>
      </c>
      <c r="G86" s="360">
        <v>2276.9</v>
      </c>
      <c r="H86" s="101">
        <v>2535.6</v>
      </c>
      <c r="I86" s="101">
        <v>2621</v>
      </c>
      <c r="J86" s="101">
        <v>3404</v>
      </c>
      <c r="K86" s="359">
        <f>+G86+H86+I86+J86</f>
        <v>10837.5</v>
      </c>
      <c r="L86" s="360">
        <v>2428.6999999999998</v>
      </c>
    </row>
    <row r="87" spans="1:12" x14ac:dyDescent="0.25">
      <c r="A87" s="88" t="s">
        <v>13</v>
      </c>
      <c r="B87" s="208">
        <v>2117.11</v>
      </c>
      <c r="C87" s="92">
        <v>2238.62</v>
      </c>
      <c r="D87" s="92">
        <v>2310.2399999999998</v>
      </c>
      <c r="E87" s="92">
        <v>2553.7800000000002</v>
      </c>
      <c r="F87" s="208">
        <v>9219.75</v>
      </c>
      <c r="G87" s="208">
        <v>2397.0500000000002</v>
      </c>
      <c r="H87" s="92">
        <v>2575.83</v>
      </c>
      <c r="I87" s="92">
        <v>2640</v>
      </c>
      <c r="J87" s="92">
        <v>2889.7</v>
      </c>
      <c r="K87" s="214">
        <f>+G87+H87+I87+J87</f>
        <v>10502.58</v>
      </c>
      <c r="L87" s="208">
        <v>2706.8</v>
      </c>
    </row>
    <row r="88" spans="1:12" x14ac:dyDescent="0.25">
      <c r="A88" s="93" t="s">
        <v>142</v>
      </c>
      <c r="B88" s="360">
        <f t="shared" ref="B88:G88" si="21">+B86+B87</f>
        <v>4050.96</v>
      </c>
      <c r="C88" s="101">
        <f t="shared" si="21"/>
        <v>4439.57</v>
      </c>
      <c r="D88" s="101">
        <f t="shared" si="21"/>
        <v>4638.6000000000004</v>
      </c>
      <c r="E88" s="101">
        <f t="shared" si="21"/>
        <v>5499.65</v>
      </c>
      <c r="F88" s="360">
        <f t="shared" si="21"/>
        <v>18628.79</v>
      </c>
      <c r="G88" s="360">
        <f t="shared" si="21"/>
        <v>4673.9500000000007</v>
      </c>
      <c r="H88" s="101">
        <v>5111.43</v>
      </c>
      <c r="I88" s="101">
        <v>5261</v>
      </c>
      <c r="J88" s="101">
        <f>+J86+J87</f>
        <v>6293.7</v>
      </c>
      <c r="K88" s="359">
        <f>+K86+K87</f>
        <v>21340.080000000002</v>
      </c>
      <c r="L88" s="360">
        <f t="shared" ref="L88" si="22">+L86+L87</f>
        <v>5135.5</v>
      </c>
    </row>
    <row r="89" spans="1:12" ht="3.75" customHeight="1" x14ac:dyDescent="0.25">
      <c r="A89" s="86"/>
      <c r="B89" s="50"/>
      <c r="C89" s="51"/>
      <c r="D89" s="51"/>
      <c r="E89" s="51"/>
      <c r="F89" s="50"/>
      <c r="G89" s="50"/>
      <c r="H89" s="51"/>
      <c r="I89" s="51"/>
      <c r="J89" s="51"/>
      <c r="K89" s="174"/>
      <c r="L89" s="50"/>
    </row>
    <row r="90" spans="1:12" x14ac:dyDescent="0.25">
      <c r="A90" s="86" t="s">
        <v>144</v>
      </c>
      <c r="B90" s="50">
        <v>3146.38</v>
      </c>
      <c r="C90" s="51">
        <v>3408.54</v>
      </c>
      <c r="D90" s="51">
        <v>3598.28</v>
      </c>
      <c r="E90" s="51">
        <v>4150.8</v>
      </c>
      <c r="F90" s="50">
        <v>14304</v>
      </c>
      <c r="G90" s="50">
        <v>3619.96</v>
      </c>
      <c r="H90" s="51">
        <v>3958.7</v>
      </c>
      <c r="I90" s="51">
        <v>4098.7999999999993</v>
      </c>
      <c r="J90" s="51">
        <v>4768.9000000000005</v>
      </c>
      <c r="K90" s="174">
        <f>+G90+H90+I90+J90</f>
        <v>16446.36</v>
      </c>
      <c r="L90" s="50">
        <v>4020.5</v>
      </c>
    </row>
    <row r="91" spans="1:12" x14ac:dyDescent="0.25">
      <c r="A91" s="86" t="s">
        <v>141</v>
      </c>
      <c r="B91" s="50">
        <v>610.02</v>
      </c>
      <c r="C91" s="51">
        <v>700.98</v>
      </c>
      <c r="D91" s="51">
        <v>699.82</v>
      </c>
      <c r="E91" s="51">
        <v>830.16</v>
      </c>
      <c r="F91" s="50">
        <v>2840.99</v>
      </c>
      <c r="G91" s="50">
        <v>742.2</v>
      </c>
      <c r="H91" s="51">
        <v>824.8</v>
      </c>
      <c r="I91" s="51">
        <v>827.6</v>
      </c>
      <c r="J91" s="51">
        <v>923.30000000000007</v>
      </c>
      <c r="K91" s="174">
        <f>+G91+H91+I91+J91</f>
        <v>3317.9</v>
      </c>
      <c r="L91" s="50">
        <v>771.3</v>
      </c>
    </row>
    <row r="92" spans="1:12" x14ac:dyDescent="0.25">
      <c r="A92" s="88" t="s">
        <v>140</v>
      </c>
      <c r="B92" s="208">
        <v>67</v>
      </c>
      <c r="C92" s="92">
        <v>73.06</v>
      </c>
      <c r="D92" s="92">
        <v>74.38</v>
      </c>
      <c r="E92" s="92">
        <v>78.680000000000007</v>
      </c>
      <c r="F92" s="214">
        <v>293.17</v>
      </c>
      <c r="G92" s="208">
        <v>79.19</v>
      </c>
      <c r="H92" s="92">
        <v>84</v>
      </c>
      <c r="I92" s="92">
        <v>85.3</v>
      </c>
      <c r="J92" s="92">
        <v>90.4</v>
      </c>
      <c r="K92" s="214">
        <f>+G92+H92+I92+J92</f>
        <v>338.89</v>
      </c>
      <c r="L92" s="208">
        <v>83.6</v>
      </c>
    </row>
    <row r="93" spans="1:12" x14ac:dyDescent="0.25">
      <c r="A93" s="86" t="s">
        <v>3</v>
      </c>
      <c r="B93" s="50">
        <f>+B90+B91+B92</f>
        <v>3823.4</v>
      </c>
      <c r="C93" s="438">
        <f>+C90+C91+C92</f>
        <v>4182.5800000000008</v>
      </c>
      <c r="D93" s="438">
        <f>+D90+D91+D92</f>
        <v>4372.4800000000005</v>
      </c>
      <c r="E93" s="438">
        <f>+E90+E91+E92+0.1</f>
        <v>5059.7400000000007</v>
      </c>
      <c r="F93" s="50">
        <f>+F90+F91+F92</f>
        <v>17438.159999999996</v>
      </c>
      <c r="G93" s="50">
        <f>+G90+G91+G92</f>
        <v>4441.3499999999995</v>
      </c>
      <c r="H93" s="438">
        <v>4867.47</v>
      </c>
      <c r="I93" s="438">
        <v>5011.7</v>
      </c>
      <c r="J93" s="51">
        <f>+J90+J91+J92</f>
        <v>5782.6</v>
      </c>
      <c r="K93" s="174">
        <f>+K90+K91+K92</f>
        <v>20103.150000000001</v>
      </c>
      <c r="L93" s="50">
        <f>+L90+L91+L92</f>
        <v>4875.4000000000005</v>
      </c>
    </row>
    <row r="94" spans="1:12" x14ac:dyDescent="0.25">
      <c r="A94" s="86"/>
      <c r="B94" s="50"/>
      <c r="C94" s="51"/>
      <c r="D94" s="51"/>
      <c r="E94" s="51"/>
      <c r="F94" s="50"/>
      <c r="G94" s="50"/>
      <c r="H94" s="51"/>
      <c r="I94" s="51"/>
      <c r="J94" s="51"/>
      <c r="K94" s="174"/>
      <c r="L94" s="50"/>
    </row>
    <row r="95" spans="1:12" x14ac:dyDescent="0.25">
      <c r="A95" s="86" t="s">
        <v>4</v>
      </c>
      <c r="B95" s="50">
        <v>1.39</v>
      </c>
      <c r="C95" s="51">
        <v>11.3</v>
      </c>
      <c r="D95" s="51">
        <v>6.18</v>
      </c>
      <c r="E95" s="51">
        <v>0.97</v>
      </c>
      <c r="F95" s="50">
        <v>19.829999999999998</v>
      </c>
      <c r="G95" s="50">
        <v>0</v>
      </c>
      <c r="H95" s="51">
        <v>12.31</v>
      </c>
      <c r="I95" s="51">
        <v>0.2</v>
      </c>
      <c r="J95" s="51">
        <v>2.2999999999999998</v>
      </c>
      <c r="K95" s="174">
        <f>+G95+H95+I95+J95</f>
        <v>14.809999999999999</v>
      </c>
      <c r="L95" s="50">
        <v>19.2</v>
      </c>
    </row>
    <row r="96" spans="1:12" ht="4.5" customHeight="1" x14ac:dyDescent="0.25">
      <c r="A96" s="86"/>
      <c r="B96" s="50"/>
      <c r="C96" s="51"/>
      <c r="D96" s="51"/>
      <c r="E96" s="51"/>
      <c r="F96" s="50"/>
      <c r="G96" s="50"/>
      <c r="H96" s="51"/>
      <c r="I96" s="51"/>
      <c r="J96" s="51"/>
      <c r="K96" s="174"/>
      <c r="L96" s="50"/>
    </row>
    <row r="97" spans="1:12" x14ac:dyDescent="0.25">
      <c r="A97" s="86" t="s">
        <v>5</v>
      </c>
      <c r="B97" s="50">
        <v>229</v>
      </c>
      <c r="C97" s="51">
        <v>268.27999999999997</v>
      </c>
      <c r="D97" s="51">
        <v>272.3</v>
      </c>
      <c r="E97" s="51">
        <v>440.97</v>
      </c>
      <c r="F97" s="50">
        <v>1210.46</v>
      </c>
      <c r="G97" s="50">
        <v>232.6</v>
      </c>
      <c r="H97" s="51">
        <v>256.2</v>
      </c>
      <c r="I97" s="51">
        <v>249.50000000000017</v>
      </c>
      <c r="J97" s="51">
        <f>+J88-J93+J95</f>
        <v>513.39999999999941</v>
      </c>
      <c r="K97" s="174">
        <f>+G97+H97+I97+J97</f>
        <v>1251.6999999999996</v>
      </c>
      <c r="L97" s="50">
        <f>+L88-L93+L95</f>
        <v>279.29999999999944</v>
      </c>
    </row>
    <row r="98" spans="1:12" ht="3.75" customHeight="1" x14ac:dyDescent="0.25">
      <c r="A98" s="86"/>
      <c r="B98" s="50">
        <v>0</v>
      </c>
      <c r="C98" s="51">
        <v>0</v>
      </c>
      <c r="D98" s="51">
        <v>0</v>
      </c>
      <c r="E98" s="51">
        <v>0</v>
      </c>
      <c r="F98" s="50">
        <v>0</v>
      </c>
      <c r="G98" s="50">
        <v>0</v>
      </c>
      <c r="H98" s="51">
        <v>0</v>
      </c>
      <c r="I98" s="51">
        <v>0</v>
      </c>
      <c r="J98" s="51"/>
      <c r="K98" s="174"/>
      <c r="L98" s="50">
        <v>0</v>
      </c>
    </row>
    <row r="99" spans="1:12" x14ac:dyDescent="0.25">
      <c r="A99" s="86" t="s">
        <v>139</v>
      </c>
      <c r="B99" s="50">
        <v>15.02</v>
      </c>
      <c r="C99" s="51">
        <v>75.38</v>
      </c>
      <c r="D99" s="51">
        <v>67.83</v>
      </c>
      <c r="E99" s="51">
        <v>51.97</v>
      </c>
      <c r="F99" s="50">
        <v>210.21</v>
      </c>
      <c r="G99" s="50">
        <v>40.18</v>
      </c>
      <c r="H99" s="51">
        <v>96.02</v>
      </c>
      <c r="I99" s="51">
        <v>126.8</v>
      </c>
      <c r="J99" s="51">
        <v>61.6</v>
      </c>
      <c r="K99" s="174">
        <f>+G99+H99+I99+J99</f>
        <v>324.60000000000002</v>
      </c>
      <c r="L99" s="50">
        <v>72.7</v>
      </c>
    </row>
    <row r="100" spans="1:12" x14ac:dyDescent="0.25">
      <c r="A100" s="86" t="s">
        <v>138</v>
      </c>
      <c r="B100" s="50">
        <v>4.1100000000000003</v>
      </c>
      <c r="C100" s="51">
        <v>3.19</v>
      </c>
      <c r="D100" s="51">
        <v>1.77</v>
      </c>
      <c r="E100" s="51">
        <v>0.34</v>
      </c>
      <c r="F100" s="50">
        <v>9.4</v>
      </c>
      <c r="G100" s="50">
        <v>-4.28</v>
      </c>
      <c r="H100" s="51">
        <v>4.01</v>
      </c>
      <c r="I100" s="51">
        <v>2.9000000000000057</v>
      </c>
      <c r="J100" s="51">
        <v>-10</v>
      </c>
      <c r="K100" s="174">
        <f>+G100+H100+I100+J100</f>
        <v>-7.3699999999999948</v>
      </c>
      <c r="L100" s="50">
        <v>20.8</v>
      </c>
    </row>
    <row r="101" spans="1:12" x14ac:dyDescent="0.25">
      <c r="A101" s="86" t="s">
        <v>16</v>
      </c>
      <c r="B101" s="50">
        <v>2.2999999999999998</v>
      </c>
      <c r="C101" s="51">
        <v>1.43</v>
      </c>
      <c r="D101" s="51">
        <v>3.13</v>
      </c>
      <c r="E101" s="51">
        <v>2.89</v>
      </c>
      <c r="F101" s="50">
        <v>9.85</v>
      </c>
      <c r="G101" s="50">
        <v>3.7</v>
      </c>
      <c r="H101" s="51">
        <v>1.49</v>
      </c>
      <c r="I101" s="51">
        <v>1.1000000000000001</v>
      </c>
      <c r="J101" s="51">
        <v>2.2999999999999998</v>
      </c>
      <c r="K101" s="174">
        <f>+G101+H101+I101+J101</f>
        <v>8.59</v>
      </c>
      <c r="L101" s="50">
        <v>1.5</v>
      </c>
    </row>
    <row r="102" spans="1:12" x14ac:dyDescent="0.25">
      <c r="A102" s="86" t="s">
        <v>17</v>
      </c>
      <c r="B102" s="50">
        <v>34.01</v>
      </c>
      <c r="C102" s="51">
        <v>35.43</v>
      </c>
      <c r="D102" s="51">
        <v>34.479999999999997</v>
      </c>
      <c r="E102" s="51">
        <v>32.9</v>
      </c>
      <c r="F102" s="50">
        <v>136.80000000000001</v>
      </c>
      <c r="G102" s="50">
        <v>28.86</v>
      </c>
      <c r="H102" s="51">
        <v>26.9</v>
      </c>
      <c r="I102" s="51">
        <v>26.6</v>
      </c>
      <c r="J102" s="51">
        <v>24.9</v>
      </c>
      <c r="K102" s="174">
        <f>+G102+H102+I102+J102</f>
        <v>107.25999999999999</v>
      </c>
      <c r="L102" s="50">
        <v>22.7</v>
      </c>
    </row>
    <row r="103" spans="1:12" x14ac:dyDescent="0.25">
      <c r="A103" s="88" t="s">
        <v>193</v>
      </c>
      <c r="B103" s="208">
        <v>216.44</v>
      </c>
      <c r="C103" s="92">
        <v>312.85000000000002</v>
      </c>
      <c r="D103" s="92">
        <v>310.55</v>
      </c>
      <c r="E103" s="92">
        <v>463.3</v>
      </c>
      <c r="F103" s="208">
        <v>1303.0999999999999</v>
      </c>
      <c r="G103" s="208">
        <v>243.3</v>
      </c>
      <c r="H103" s="92">
        <f>+H97+H99+H100+H101-H102</f>
        <v>330.82</v>
      </c>
      <c r="I103" s="92">
        <v>353.70000000000016</v>
      </c>
      <c r="J103" s="92">
        <f>+J97+J99+J100+J101-J102</f>
        <v>542.39999999999941</v>
      </c>
      <c r="K103" s="214">
        <f>+K97+K99+K100+K101-K102</f>
        <v>1470.2599999999998</v>
      </c>
      <c r="L103" s="208">
        <f>+L97+L99+L100+L101-L102</f>
        <v>351.59999999999945</v>
      </c>
    </row>
    <row r="104" spans="1:12" x14ac:dyDescent="0.25">
      <c r="A104" s="86" t="s">
        <v>188</v>
      </c>
      <c r="B104" s="50">
        <v>62.2</v>
      </c>
      <c r="C104" s="51">
        <v>84.68</v>
      </c>
      <c r="D104" s="51">
        <v>87.28</v>
      </c>
      <c r="E104" s="51">
        <v>132.30000000000001</v>
      </c>
      <c r="F104" s="50">
        <v>366.53</v>
      </c>
      <c r="G104" s="50">
        <v>57.2</v>
      </c>
      <c r="H104" s="51">
        <v>77.3</v>
      </c>
      <c r="I104" s="51">
        <v>82.600000000000009</v>
      </c>
      <c r="J104" s="51">
        <v>126.69999999999999</v>
      </c>
      <c r="K104" s="174">
        <f>+G104+H104+I104+J104</f>
        <v>343.8</v>
      </c>
      <c r="L104" s="50">
        <v>77.699999999999989</v>
      </c>
    </row>
    <row r="105" spans="1:12" x14ac:dyDescent="0.25">
      <c r="A105" s="88" t="s">
        <v>192</v>
      </c>
      <c r="B105" s="271">
        <f t="shared" ref="B105:H105" si="23">B104/(B103-B107)</f>
        <v>0.28993613946767355</v>
      </c>
      <c r="C105" s="368">
        <f t="shared" si="23"/>
        <v>0.27174122328476991</v>
      </c>
      <c r="D105" s="368">
        <f t="shared" si="23"/>
        <v>0.28199411973764987</v>
      </c>
      <c r="E105" s="368">
        <f t="shared" si="23"/>
        <v>0.28697859048610663</v>
      </c>
      <c r="F105" s="271">
        <f t="shared" si="23"/>
        <v>0.28267894464882043</v>
      </c>
      <c r="G105" s="271">
        <f t="shared" si="23"/>
        <v>0.23500410846343467</v>
      </c>
      <c r="H105" s="368">
        <f t="shared" si="23"/>
        <v>0.23429922405431619</v>
      </c>
      <c r="I105" s="368">
        <v>0.23432624113475167</v>
      </c>
      <c r="J105" s="368">
        <f>+J144</f>
        <v>0.23389329887391572</v>
      </c>
      <c r="K105" s="367">
        <f>+K144</f>
        <v>0.2342664013737088</v>
      </c>
      <c r="L105" s="271">
        <f t="shared" ref="L105" si="24">L104/(L103-L107)</f>
        <v>0.22508690614136764</v>
      </c>
    </row>
    <row r="106" spans="1:12" x14ac:dyDescent="0.25">
      <c r="A106" s="86" t="s">
        <v>191</v>
      </c>
      <c r="B106" s="365">
        <f t="shared" ref="B106:H106" si="25">+B103-B104</f>
        <v>154.24</v>
      </c>
      <c r="C106" s="51">
        <f t="shared" si="25"/>
        <v>228.17000000000002</v>
      </c>
      <c r="D106" s="51">
        <f t="shared" si="25"/>
        <v>223.27</v>
      </c>
      <c r="E106" s="366">
        <f t="shared" si="25"/>
        <v>331</v>
      </c>
      <c r="F106" s="51">
        <f t="shared" si="25"/>
        <v>936.56999999999994</v>
      </c>
      <c r="G106" s="365">
        <f t="shared" si="25"/>
        <v>186.10000000000002</v>
      </c>
      <c r="H106" s="51">
        <f t="shared" si="25"/>
        <v>253.51999999999998</v>
      </c>
      <c r="I106" s="51">
        <v>271.10000000000014</v>
      </c>
      <c r="J106" s="51">
        <f>+J103-J104</f>
        <v>415.69999999999942</v>
      </c>
      <c r="K106" s="174">
        <f>+K103-K104</f>
        <v>1126.4599999999998</v>
      </c>
      <c r="L106" s="365">
        <f t="shared" ref="L106" si="26">+L103-L104</f>
        <v>273.89999999999947</v>
      </c>
    </row>
    <row r="107" spans="1:12" ht="17.25" customHeight="1" x14ac:dyDescent="0.25">
      <c r="A107" s="88" t="s">
        <v>137</v>
      </c>
      <c r="B107" s="208">
        <v>1.91</v>
      </c>
      <c r="C107" s="92">
        <v>1.23</v>
      </c>
      <c r="D107" s="92">
        <v>1.04</v>
      </c>
      <c r="E107" s="92">
        <v>2.29</v>
      </c>
      <c r="F107" s="208">
        <v>6.47</v>
      </c>
      <c r="G107" s="208">
        <v>-0.1</v>
      </c>
      <c r="H107" s="92">
        <v>0.9</v>
      </c>
      <c r="I107" s="92">
        <v>1.2</v>
      </c>
      <c r="J107" s="92">
        <v>0.7</v>
      </c>
      <c r="K107" s="214">
        <f>+G107+H107+I107+J107</f>
        <v>2.7</v>
      </c>
      <c r="L107" s="208">
        <v>6.4</v>
      </c>
    </row>
    <row r="108" spans="1:12" s="8" customFormat="1" ht="20.65" customHeight="1" thickBot="1" x14ac:dyDescent="0.3">
      <c r="A108" s="364" t="s">
        <v>190</v>
      </c>
      <c r="B108" s="363">
        <f t="shared" ref="B108:H108" si="27">+B106-B107</f>
        <v>152.33000000000001</v>
      </c>
      <c r="C108" s="362">
        <f t="shared" si="27"/>
        <v>226.94000000000003</v>
      </c>
      <c r="D108" s="362">
        <f t="shared" si="27"/>
        <v>222.23000000000002</v>
      </c>
      <c r="E108" s="362">
        <f t="shared" si="27"/>
        <v>328.71</v>
      </c>
      <c r="F108" s="363">
        <f t="shared" si="27"/>
        <v>930.09999999999991</v>
      </c>
      <c r="G108" s="363">
        <f t="shared" si="27"/>
        <v>186.20000000000002</v>
      </c>
      <c r="H108" s="362">
        <f t="shared" si="27"/>
        <v>252.61999999999998</v>
      </c>
      <c r="I108" s="362">
        <v>269.90000000000015</v>
      </c>
      <c r="J108" s="362">
        <f>+J106-J107</f>
        <v>414.99999999999943</v>
      </c>
      <c r="K108" s="361">
        <f>+K106-K107</f>
        <v>1123.7599999999998</v>
      </c>
      <c r="L108" s="363">
        <f t="shared" ref="L108" si="28">+L106-L107</f>
        <v>267.49999999999949</v>
      </c>
    </row>
    <row r="109" spans="1:12" ht="3.75" customHeight="1" thickTop="1" x14ac:dyDescent="0.25">
      <c r="A109" s="86"/>
      <c r="B109" s="358">
        <v>2.4549112310978671E-5</v>
      </c>
      <c r="C109" s="357">
        <v>-2.5536235804679563E-4</v>
      </c>
      <c r="D109" s="357"/>
      <c r="E109" s="357"/>
      <c r="F109" s="358">
        <v>-3.5626207625227835E-4</v>
      </c>
      <c r="G109" s="358"/>
      <c r="H109" s="357"/>
      <c r="I109" s="357"/>
      <c r="J109" s="357"/>
      <c r="K109" s="356"/>
      <c r="L109" s="358"/>
    </row>
    <row r="110" spans="1:12" ht="15" customHeight="1" x14ac:dyDescent="0.25">
      <c r="A110" s="86" t="s">
        <v>189</v>
      </c>
      <c r="B110" s="50">
        <v>2.2999999999999998</v>
      </c>
      <c r="C110" s="51">
        <v>1.43</v>
      </c>
      <c r="D110" s="51">
        <v>3.13</v>
      </c>
      <c r="E110" s="51">
        <v>2.89</v>
      </c>
      <c r="F110" s="50">
        <v>9.85</v>
      </c>
      <c r="G110" s="50">
        <v>3.7</v>
      </c>
      <c r="H110" s="51">
        <v>1.5</v>
      </c>
      <c r="I110" s="51">
        <v>1.1000000000000001</v>
      </c>
      <c r="J110" s="51">
        <f>+J101</f>
        <v>2.2999999999999998</v>
      </c>
      <c r="K110" s="174">
        <f>+K101</f>
        <v>8.59</v>
      </c>
      <c r="L110" s="50">
        <f>+L101</f>
        <v>1.5</v>
      </c>
    </row>
    <row r="111" spans="1:12" ht="15" customHeight="1" x14ac:dyDescent="0.25">
      <c r="A111" s="86" t="s">
        <v>87</v>
      </c>
      <c r="B111" s="50"/>
      <c r="C111" s="51"/>
      <c r="D111" s="51"/>
      <c r="E111" s="51"/>
      <c r="F111" s="50"/>
      <c r="G111" s="50"/>
      <c r="H111" s="51"/>
      <c r="I111" s="51"/>
      <c r="J111" s="51"/>
      <c r="K111" s="174"/>
      <c r="L111" s="50"/>
    </row>
    <row r="112" spans="1:12" ht="15" customHeight="1" x14ac:dyDescent="0.25">
      <c r="A112" s="86" t="s">
        <v>17</v>
      </c>
      <c r="B112" s="50">
        <v>34.01</v>
      </c>
      <c r="C112" s="51">
        <v>35.43</v>
      </c>
      <c r="D112" s="51">
        <v>34.479999999999997</v>
      </c>
      <c r="E112" s="51">
        <v>32.9</v>
      </c>
      <c r="F112" s="50">
        <v>136.80000000000001</v>
      </c>
      <c r="G112" s="50">
        <v>28.9</v>
      </c>
      <c r="H112" s="51">
        <v>26.9</v>
      </c>
      <c r="I112" s="51">
        <v>26.6</v>
      </c>
      <c r="J112" s="51">
        <f>+J102</f>
        <v>24.9</v>
      </c>
      <c r="K112" s="174">
        <f>+K102</f>
        <v>107.25999999999999</v>
      </c>
      <c r="L112" s="50">
        <f>+L102</f>
        <v>22.7</v>
      </c>
    </row>
    <row r="113" spans="1:12" ht="15" customHeight="1" x14ac:dyDescent="0.25">
      <c r="A113" s="86" t="s">
        <v>188</v>
      </c>
      <c r="B113" s="50">
        <v>62.2</v>
      </c>
      <c r="C113" s="51">
        <v>84.68</v>
      </c>
      <c r="D113" s="51">
        <v>87.28</v>
      </c>
      <c r="E113" s="51">
        <v>132.30000000000001</v>
      </c>
      <c r="F113" s="50">
        <v>366.53</v>
      </c>
      <c r="G113" s="50">
        <v>57.2</v>
      </c>
      <c r="H113" s="51">
        <v>77.3</v>
      </c>
      <c r="I113" s="51">
        <v>82.600000000000009</v>
      </c>
      <c r="J113" s="51">
        <f>+J104</f>
        <v>126.69999999999999</v>
      </c>
      <c r="K113" s="174">
        <f>+K104</f>
        <v>343.8</v>
      </c>
      <c r="L113" s="50">
        <f>+L104</f>
        <v>77.699999999999989</v>
      </c>
    </row>
    <row r="114" spans="1:12" ht="15" customHeight="1" x14ac:dyDescent="0.25">
      <c r="A114" s="88" t="s">
        <v>140</v>
      </c>
      <c r="B114" s="208">
        <v>67</v>
      </c>
      <c r="C114" s="92">
        <v>73.06</v>
      </c>
      <c r="D114" s="92">
        <v>74.38</v>
      </c>
      <c r="E114" s="92">
        <v>78.680000000000007</v>
      </c>
      <c r="F114" s="208">
        <v>293.17</v>
      </c>
      <c r="G114" s="208">
        <v>79.2</v>
      </c>
      <c r="H114" s="92">
        <v>83.96</v>
      </c>
      <c r="I114" s="92">
        <v>85.3</v>
      </c>
      <c r="J114" s="92">
        <f>+J92</f>
        <v>90.4</v>
      </c>
      <c r="K114" s="208">
        <f>+K92</f>
        <v>338.89</v>
      </c>
      <c r="L114" s="208">
        <f>+L92</f>
        <v>83.6</v>
      </c>
    </row>
    <row r="115" spans="1:12" s="8" customFormat="1" ht="15" customHeight="1" x14ac:dyDescent="0.25">
      <c r="A115" s="93" t="s">
        <v>8</v>
      </c>
      <c r="B115" s="360">
        <f>+B108-B110+B112+B113+B114</f>
        <v>313.24</v>
      </c>
      <c r="C115" s="101">
        <f>+C108-C110+C112+C113+C114</f>
        <v>418.68</v>
      </c>
      <c r="D115" s="101">
        <f>+D108-D110+D112+D113+D114</f>
        <v>415.24</v>
      </c>
      <c r="E115" s="101">
        <f>+E108-E110+E112+E113+E114</f>
        <v>569.70000000000005</v>
      </c>
      <c r="F115" s="360">
        <f>+F108-F110+F112+F113+F114-0.1</f>
        <v>1716.65</v>
      </c>
      <c r="G115" s="360">
        <f>+G108-G110+G112+G113+G114</f>
        <v>347.8</v>
      </c>
      <c r="H115" s="101">
        <f>+H108-H110+H112+H113+H114</f>
        <v>439.28</v>
      </c>
      <c r="I115" s="101">
        <v>463.30000000000018</v>
      </c>
      <c r="J115" s="101">
        <f>+J108-J110+J112+J113+J114</f>
        <v>654.69999999999936</v>
      </c>
      <c r="K115" s="359">
        <f>+K108-K110+K112+K113+K114</f>
        <v>1905.12</v>
      </c>
      <c r="L115" s="360">
        <f>+L108-L110+L112+L113+L114</f>
        <v>449.99999999999943</v>
      </c>
    </row>
    <row r="116" spans="1:12" ht="3.75" customHeight="1" x14ac:dyDescent="0.25">
      <c r="A116" s="86"/>
      <c r="B116" s="358">
        <v>-2.4549116801608761E-5</v>
      </c>
      <c r="C116" s="357">
        <v>2.5536236717016436E-4</v>
      </c>
      <c r="D116" s="357"/>
      <c r="E116" s="357"/>
      <c r="F116" s="358">
        <v>-1.7745833995377325E-3</v>
      </c>
      <c r="G116" s="358"/>
      <c r="H116" s="357"/>
      <c r="I116" s="357"/>
      <c r="J116" s="357"/>
      <c r="K116" s="356"/>
      <c r="L116" s="358"/>
    </row>
    <row r="117" spans="1:12" x14ac:dyDescent="0.25">
      <c r="A117" s="86" t="s">
        <v>187</v>
      </c>
      <c r="B117" s="58">
        <v>339.69057900000001</v>
      </c>
      <c r="C117" s="51">
        <v>340.88260300000002</v>
      </c>
      <c r="D117" s="52">
        <v>341.2</v>
      </c>
      <c r="E117" s="52">
        <v>341.7</v>
      </c>
      <c r="F117" s="58">
        <v>340.8</v>
      </c>
      <c r="G117" s="58">
        <v>342.58981</v>
      </c>
      <c r="H117" s="51">
        <f>+H81</f>
        <v>343.5</v>
      </c>
      <c r="I117" s="51">
        <v>343.7</v>
      </c>
      <c r="J117" s="177">
        <f>+J81</f>
        <v>342.7</v>
      </c>
      <c r="K117" s="176">
        <f>+K81</f>
        <v>343.1</v>
      </c>
      <c r="L117" s="58">
        <f>+L81</f>
        <v>340.2</v>
      </c>
    </row>
    <row r="118" spans="1:12" x14ac:dyDescent="0.25">
      <c r="A118" s="86" t="s">
        <v>186</v>
      </c>
      <c r="B118" s="353">
        <f t="shared" ref="B118:H118" si="29">+B108/B117</f>
        <v>0.44843751760333633</v>
      </c>
      <c r="C118" s="353">
        <f t="shared" si="29"/>
        <v>0.66574239343038577</v>
      </c>
      <c r="D118" s="355">
        <f t="shared" si="29"/>
        <v>0.65131887456037518</v>
      </c>
      <c r="E118" s="355">
        <f t="shared" si="29"/>
        <v>0.96198419666374013</v>
      </c>
      <c r="F118" s="354">
        <f t="shared" si="29"/>
        <v>2.7291666666666665</v>
      </c>
      <c r="G118" s="354">
        <f t="shared" si="29"/>
        <v>0.54350711715564459</v>
      </c>
      <c r="H118" s="353">
        <f t="shared" si="29"/>
        <v>0.73542940320232886</v>
      </c>
      <c r="I118" s="353">
        <v>0.78527785859761468</v>
      </c>
      <c r="J118" s="353">
        <f>+J108/J117</f>
        <v>1.210971695360372</v>
      </c>
      <c r="K118" s="352">
        <f>+K108/K117</f>
        <v>3.2753133197318558</v>
      </c>
      <c r="L118" s="354">
        <f>+L108/L117</f>
        <v>0.7863021751910626</v>
      </c>
    </row>
    <row r="119" spans="1:12" x14ac:dyDescent="0.25">
      <c r="A119" s="86"/>
      <c r="B119" s="43"/>
      <c r="C119" s="43"/>
      <c r="D119" s="43"/>
      <c r="E119" s="43"/>
      <c r="F119" s="159"/>
      <c r="G119" s="43"/>
      <c r="H119" s="43"/>
      <c r="I119" s="43"/>
      <c r="J119" s="43"/>
      <c r="K119" s="159"/>
      <c r="L119" s="43"/>
    </row>
    <row r="120" spans="1:12" ht="14.65" customHeight="1" x14ac:dyDescent="0.25">
      <c r="A120" s="351" t="s">
        <v>54</v>
      </c>
      <c r="B120" s="43"/>
      <c r="C120" s="43"/>
      <c r="D120" s="43"/>
      <c r="E120" s="43"/>
      <c r="F120" s="159"/>
      <c r="K120" s="4"/>
      <c r="L120" s="413"/>
    </row>
    <row r="121" spans="1:12" x14ac:dyDescent="0.25">
      <c r="A121" s="304" t="s">
        <v>185</v>
      </c>
      <c r="B121" s="350"/>
      <c r="C121" s="43"/>
      <c r="D121" s="43"/>
      <c r="E121" s="43"/>
      <c r="F121" s="159"/>
      <c r="K121" s="4"/>
      <c r="L121" s="413"/>
    </row>
    <row r="122" spans="1:12" x14ac:dyDescent="0.25">
      <c r="A122" s="304"/>
      <c r="B122" s="43"/>
      <c r="C122" s="43"/>
      <c r="D122" s="43"/>
      <c r="E122" s="43"/>
      <c r="F122" s="159"/>
      <c r="K122" s="4"/>
      <c r="L122" s="413"/>
    </row>
    <row r="123" spans="1:12" x14ac:dyDescent="0.25">
      <c r="A123" s="345" t="s">
        <v>184</v>
      </c>
      <c r="B123" s="83"/>
      <c r="C123" s="83"/>
      <c r="D123" s="83"/>
      <c r="E123" s="83"/>
      <c r="F123" s="85"/>
      <c r="G123" s="57"/>
      <c r="H123" s="57"/>
      <c r="I123" s="57"/>
      <c r="J123" s="57"/>
      <c r="K123" s="200"/>
      <c r="L123" s="57"/>
    </row>
    <row r="124" spans="1:12" x14ac:dyDescent="0.25">
      <c r="A124" s="341" t="s">
        <v>180</v>
      </c>
      <c r="B124" s="340">
        <f t="shared" ref="B124:H124" si="30">+B26</f>
        <v>53.82</v>
      </c>
      <c r="C124" s="339">
        <f t="shared" si="30"/>
        <v>69.89</v>
      </c>
      <c r="D124" s="339">
        <f t="shared" si="30"/>
        <v>77</v>
      </c>
      <c r="E124" s="339">
        <f t="shared" si="30"/>
        <v>266.98</v>
      </c>
      <c r="F124" s="340">
        <f t="shared" si="30"/>
        <v>467.76</v>
      </c>
      <c r="G124" s="340">
        <f t="shared" si="30"/>
        <v>46.1</v>
      </c>
      <c r="H124" s="339">
        <f t="shared" si="30"/>
        <v>70.319999999999993</v>
      </c>
      <c r="I124" s="339">
        <v>94.9</v>
      </c>
      <c r="J124" s="339">
        <f>+J26</f>
        <v>101.6</v>
      </c>
      <c r="K124" s="338">
        <f>+K26</f>
        <v>312.91999999999996</v>
      </c>
      <c r="L124" s="340">
        <f>+L26</f>
        <v>43.9</v>
      </c>
    </row>
    <row r="125" spans="1:12" x14ac:dyDescent="0.25">
      <c r="A125" s="341" t="s">
        <v>179</v>
      </c>
      <c r="B125" s="340">
        <f t="shared" ref="B125:H125" si="31">+B25</f>
        <v>192.74</v>
      </c>
      <c r="C125" s="339">
        <f t="shared" si="31"/>
        <v>272.89</v>
      </c>
      <c r="D125" s="339">
        <f t="shared" si="31"/>
        <v>277.10000000000002</v>
      </c>
      <c r="E125" s="339">
        <f t="shared" si="31"/>
        <v>428.49</v>
      </c>
      <c r="F125" s="340">
        <f t="shared" si="31"/>
        <v>1171.33</v>
      </c>
      <c r="G125" s="340">
        <f t="shared" si="31"/>
        <v>196.29</v>
      </c>
      <c r="H125" s="339">
        <f t="shared" si="31"/>
        <v>299.89999999999998</v>
      </c>
      <c r="I125" s="339">
        <v>386.5</v>
      </c>
      <c r="J125" s="339">
        <f>+J25</f>
        <v>496.09999999999991</v>
      </c>
      <c r="K125" s="338">
        <f>+K25</f>
        <v>1378.79</v>
      </c>
      <c r="L125" s="340">
        <f>+L25</f>
        <v>214.70000000000019</v>
      </c>
    </row>
    <row r="126" spans="1:12" x14ac:dyDescent="0.25">
      <c r="A126" s="330" t="s">
        <v>82</v>
      </c>
      <c r="B126" s="337">
        <f t="shared" ref="B126:H126" si="32">+B29</f>
        <v>1.91</v>
      </c>
      <c r="C126" s="336">
        <f t="shared" si="32"/>
        <v>1.23</v>
      </c>
      <c r="D126" s="336">
        <f t="shared" si="32"/>
        <v>1.04</v>
      </c>
      <c r="E126" s="336">
        <f t="shared" si="32"/>
        <v>2.29</v>
      </c>
      <c r="F126" s="337">
        <f t="shared" si="32"/>
        <v>6.47</v>
      </c>
      <c r="G126" s="337">
        <f t="shared" si="32"/>
        <v>-0.1</v>
      </c>
      <c r="H126" s="336">
        <f t="shared" si="32"/>
        <v>0.9</v>
      </c>
      <c r="I126" s="336">
        <v>1.2</v>
      </c>
      <c r="J126" s="336">
        <f>+J29</f>
        <v>0.7</v>
      </c>
      <c r="K126" s="335">
        <f>+K29</f>
        <v>2.7</v>
      </c>
      <c r="L126" s="337">
        <f>+L29</f>
        <v>6.4</v>
      </c>
    </row>
    <row r="127" spans="1:12" x14ac:dyDescent="0.25">
      <c r="A127" s="341" t="s">
        <v>178</v>
      </c>
      <c r="B127" s="340">
        <f t="shared" ref="B127:H127" si="33">+B125-B126</f>
        <v>190.83</v>
      </c>
      <c r="C127" s="339">
        <f t="shared" si="33"/>
        <v>271.65999999999997</v>
      </c>
      <c r="D127" s="339">
        <f t="shared" si="33"/>
        <v>276.06</v>
      </c>
      <c r="E127" s="339">
        <f t="shared" si="33"/>
        <v>426.2</v>
      </c>
      <c r="F127" s="340">
        <f t="shared" si="33"/>
        <v>1164.8599999999999</v>
      </c>
      <c r="G127" s="340">
        <f t="shared" si="33"/>
        <v>196.39</v>
      </c>
      <c r="H127" s="339">
        <f t="shared" si="33"/>
        <v>299</v>
      </c>
      <c r="I127" s="339">
        <v>385.3</v>
      </c>
      <c r="J127" s="339">
        <f>+J125-J126</f>
        <v>495.39999999999992</v>
      </c>
      <c r="K127" s="338">
        <f>+K125-K126</f>
        <v>1376.09</v>
      </c>
      <c r="L127" s="340">
        <f t="shared" ref="L127" si="34">+L125-L126</f>
        <v>208.30000000000018</v>
      </c>
    </row>
    <row r="128" spans="1:12" x14ac:dyDescent="0.25">
      <c r="A128" s="341" t="s">
        <v>177</v>
      </c>
      <c r="B128" s="348">
        <f t="shared" ref="B128:H128" si="35">+B124/B127</f>
        <v>0.28203112718126078</v>
      </c>
      <c r="C128" s="347">
        <f t="shared" si="35"/>
        <v>0.25727011705808733</v>
      </c>
      <c r="D128" s="347">
        <f t="shared" si="35"/>
        <v>0.27892487140476707</v>
      </c>
      <c r="E128" s="347">
        <f t="shared" si="35"/>
        <v>0.62641952135147827</v>
      </c>
      <c r="F128" s="348">
        <f t="shared" si="35"/>
        <v>0.40155898562917436</v>
      </c>
      <c r="G128" s="348">
        <f t="shared" si="35"/>
        <v>0.23473700290238814</v>
      </c>
      <c r="H128" s="347">
        <f t="shared" si="35"/>
        <v>0.2351839464882943</v>
      </c>
      <c r="I128" s="347">
        <f>+I124/I127</f>
        <v>0.24630158318193615</v>
      </c>
      <c r="J128" s="347">
        <f>+J124/J127</f>
        <v>0.20508679854662901</v>
      </c>
      <c r="K128" s="346">
        <f>+K124/K127</f>
        <v>0.2273979172873867</v>
      </c>
      <c r="L128" s="348">
        <f t="shared" ref="L128" si="36">+L124/L127</f>
        <v>0.21075372059529507</v>
      </c>
    </row>
    <row r="129" spans="1:12" x14ac:dyDescent="0.25">
      <c r="A129" s="86"/>
      <c r="B129" s="77"/>
      <c r="C129" s="43"/>
      <c r="D129" s="43"/>
      <c r="E129" s="43"/>
      <c r="F129" s="77"/>
      <c r="G129" s="77"/>
      <c r="H129" s="43"/>
      <c r="I129" s="43"/>
      <c r="J129" s="43"/>
      <c r="K129" s="159"/>
      <c r="L129" s="77"/>
    </row>
    <row r="130" spans="1:12" x14ac:dyDescent="0.25">
      <c r="A130" s="86"/>
      <c r="B130" s="77"/>
      <c r="C130" s="43"/>
      <c r="D130" s="43"/>
      <c r="E130" s="43"/>
      <c r="F130" s="77"/>
      <c r="G130" s="77"/>
      <c r="H130" s="43"/>
      <c r="I130" s="43"/>
      <c r="J130" s="43"/>
      <c r="K130" s="159"/>
      <c r="L130" s="77"/>
    </row>
    <row r="131" spans="1:12" x14ac:dyDescent="0.25">
      <c r="A131" s="345" t="s">
        <v>183</v>
      </c>
      <c r="B131" s="344"/>
      <c r="C131" s="343"/>
      <c r="D131" s="343"/>
      <c r="E131" s="343"/>
      <c r="F131" s="344"/>
      <c r="G131" s="344"/>
      <c r="H131" s="343"/>
      <c r="I131" s="343"/>
      <c r="J131" s="343"/>
      <c r="K131" s="342"/>
      <c r="L131" s="344"/>
    </row>
    <row r="132" spans="1:12" x14ac:dyDescent="0.25">
      <c r="A132" s="341" t="s">
        <v>180</v>
      </c>
      <c r="B132" s="340">
        <f>+B66</f>
        <v>8.3800000000000026</v>
      </c>
      <c r="C132" s="339">
        <f>+C66</f>
        <v>14.790000000000006</v>
      </c>
      <c r="D132" s="339">
        <f>+D66</f>
        <v>10.199999999999999</v>
      </c>
      <c r="E132" s="339">
        <f>+E66</f>
        <v>-134.70000000000002</v>
      </c>
      <c r="F132" s="340">
        <v>-101.3</v>
      </c>
      <c r="G132" s="340">
        <f>+G66</f>
        <v>11.100000000000001</v>
      </c>
      <c r="H132" s="339">
        <f>+H66</f>
        <v>6.980000000000004</v>
      </c>
      <c r="I132" s="339">
        <v>-12.299999999999997</v>
      </c>
      <c r="J132" s="339">
        <f>+J66</f>
        <v>25.099999999999998</v>
      </c>
      <c r="K132" s="338">
        <f>+K66</f>
        <v>30.880000000000006</v>
      </c>
      <c r="L132" s="340">
        <f>+L66</f>
        <v>33.799999999999997</v>
      </c>
    </row>
    <row r="133" spans="1:12" x14ac:dyDescent="0.25">
      <c r="A133" s="341" t="s">
        <v>179</v>
      </c>
      <c r="B133" s="340">
        <f t="shared" ref="B133:H133" si="37">+B65</f>
        <v>23.7</v>
      </c>
      <c r="C133" s="339">
        <f t="shared" si="37"/>
        <v>39.960000000000036</v>
      </c>
      <c r="D133" s="339">
        <f t="shared" si="37"/>
        <v>33.299999999999997</v>
      </c>
      <c r="E133" s="339">
        <f t="shared" si="37"/>
        <v>34.799999999999997</v>
      </c>
      <c r="F133" s="340">
        <f t="shared" si="37"/>
        <v>131.70999999999992</v>
      </c>
      <c r="G133" s="340">
        <f t="shared" si="37"/>
        <v>47.010000000000019</v>
      </c>
      <c r="H133" s="339">
        <f t="shared" si="37"/>
        <v>30.920000000000016</v>
      </c>
      <c r="I133" s="339">
        <v>-32.799999999999841</v>
      </c>
      <c r="J133" s="339">
        <f>+J65</f>
        <v>46.300000000000004</v>
      </c>
      <c r="K133" s="338">
        <f>+K65</f>
        <v>91.430000000000206</v>
      </c>
      <c r="L133" s="340">
        <f>+L65</f>
        <v>136.9</v>
      </c>
    </row>
    <row r="134" spans="1:12" x14ac:dyDescent="0.25">
      <c r="A134" s="330" t="s">
        <v>82</v>
      </c>
      <c r="B134" s="337">
        <f t="shared" ref="B134:H134" si="38">+B69</f>
        <v>0</v>
      </c>
      <c r="C134" s="336">
        <f t="shared" si="38"/>
        <v>0</v>
      </c>
      <c r="D134" s="336">
        <f t="shared" si="38"/>
        <v>0</v>
      </c>
      <c r="E134" s="336">
        <f t="shared" si="38"/>
        <v>0</v>
      </c>
      <c r="F134" s="337">
        <f t="shared" si="38"/>
        <v>0</v>
      </c>
      <c r="G134" s="337">
        <f t="shared" si="38"/>
        <v>0</v>
      </c>
      <c r="H134" s="336">
        <f t="shared" si="38"/>
        <v>0</v>
      </c>
      <c r="I134" s="336">
        <v>0</v>
      </c>
      <c r="J134" s="336">
        <f>+J69</f>
        <v>0</v>
      </c>
      <c r="K134" s="335">
        <f>+K69</f>
        <v>0</v>
      </c>
      <c r="L134" s="337">
        <f>+L69</f>
        <v>0</v>
      </c>
    </row>
    <row r="135" spans="1:12" x14ac:dyDescent="0.25">
      <c r="A135" s="341" t="s">
        <v>178</v>
      </c>
      <c r="B135" s="340">
        <f t="shared" ref="B135:H135" si="39">+B133-B134</f>
        <v>23.7</v>
      </c>
      <c r="C135" s="339">
        <f t="shared" si="39"/>
        <v>39.960000000000036</v>
      </c>
      <c r="D135" s="339">
        <f t="shared" si="39"/>
        <v>33.299999999999997</v>
      </c>
      <c r="E135" s="339">
        <f t="shared" si="39"/>
        <v>34.799999999999997</v>
      </c>
      <c r="F135" s="340">
        <f t="shared" si="39"/>
        <v>131.70999999999992</v>
      </c>
      <c r="G135" s="340">
        <f t="shared" si="39"/>
        <v>47.010000000000019</v>
      </c>
      <c r="H135" s="339">
        <f t="shared" si="39"/>
        <v>30.920000000000016</v>
      </c>
      <c r="I135" s="339">
        <v>-32.799999999999841</v>
      </c>
      <c r="J135" s="339">
        <f>+J133-J134</f>
        <v>46.300000000000004</v>
      </c>
      <c r="K135" s="338">
        <f>+K133-K134</f>
        <v>91.430000000000206</v>
      </c>
      <c r="L135" s="340">
        <f t="shared" ref="L135" si="40">+L133-L134</f>
        <v>136.9</v>
      </c>
    </row>
    <row r="136" spans="1:12" x14ac:dyDescent="0.25">
      <c r="A136" s="341" t="s">
        <v>177</v>
      </c>
      <c r="B136" s="348">
        <f>+B132/B135</f>
        <v>0.3535864978902955</v>
      </c>
      <c r="C136" s="347">
        <f>+C132/C135</f>
        <v>0.37012012012011997</v>
      </c>
      <c r="D136" s="347">
        <f>+D132/D135</f>
        <v>0.30630630630630629</v>
      </c>
      <c r="E136" s="349" t="s">
        <v>182</v>
      </c>
      <c r="F136" s="348">
        <f t="shared" ref="F136:L136" si="41">+F132/F135</f>
        <v>-0.76911396249335706</v>
      </c>
      <c r="G136" s="348">
        <f t="shared" si="41"/>
        <v>0.23611997447351621</v>
      </c>
      <c r="H136" s="347">
        <f t="shared" si="41"/>
        <v>0.2257438551099612</v>
      </c>
      <c r="I136" s="347">
        <f t="shared" si="41"/>
        <v>0.37500000000000172</v>
      </c>
      <c r="J136" s="347">
        <f t="shared" si="41"/>
        <v>0.5421166306695463</v>
      </c>
      <c r="K136" s="346">
        <f t="shared" si="41"/>
        <v>0.33774472273870654</v>
      </c>
      <c r="L136" s="348">
        <f t="shared" si="41"/>
        <v>0.24689554419284146</v>
      </c>
    </row>
    <row r="137" spans="1:12" x14ac:dyDescent="0.25">
      <c r="A137" s="86"/>
      <c r="B137" s="77"/>
      <c r="C137" s="43"/>
      <c r="D137" s="43"/>
      <c r="E137" s="43"/>
      <c r="F137" s="77"/>
      <c r="G137" s="77"/>
      <c r="H137" s="43"/>
      <c r="I137" s="43"/>
      <c r="J137" s="43"/>
      <c r="K137" s="159"/>
      <c r="L137" s="77"/>
    </row>
    <row r="138" spans="1:12" x14ac:dyDescent="0.25">
      <c r="A138" s="86"/>
      <c r="B138" s="77"/>
      <c r="C138" s="43"/>
      <c r="D138" s="43"/>
      <c r="E138" s="43"/>
      <c r="F138" s="77"/>
      <c r="G138" s="77"/>
      <c r="H138" s="43"/>
      <c r="I138" s="43"/>
      <c r="J138" s="43"/>
      <c r="K138" s="159"/>
      <c r="L138" s="77"/>
    </row>
    <row r="139" spans="1:12" x14ac:dyDescent="0.25">
      <c r="A139" s="345" t="s">
        <v>181</v>
      </c>
      <c r="B139" s="344"/>
      <c r="C139" s="343"/>
      <c r="D139" s="343"/>
      <c r="E139" s="343"/>
      <c r="F139" s="344"/>
      <c r="G139" s="344"/>
      <c r="H139" s="343"/>
      <c r="I139" s="343"/>
      <c r="J139" s="343"/>
      <c r="K139" s="342"/>
      <c r="L139" s="344"/>
    </row>
    <row r="140" spans="1:12" x14ac:dyDescent="0.25">
      <c r="A140" s="341" t="s">
        <v>180</v>
      </c>
      <c r="B140" s="340">
        <f t="shared" ref="B140:H140" si="42">+B104</f>
        <v>62.2</v>
      </c>
      <c r="C140" s="339">
        <f t="shared" si="42"/>
        <v>84.68</v>
      </c>
      <c r="D140" s="339">
        <f t="shared" si="42"/>
        <v>87.28</v>
      </c>
      <c r="E140" s="339">
        <f t="shared" si="42"/>
        <v>132.30000000000001</v>
      </c>
      <c r="F140" s="340">
        <f t="shared" si="42"/>
        <v>366.53</v>
      </c>
      <c r="G140" s="340">
        <f t="shared" si="42"/>
        <v>57.2</v>
      </c>
      <c r="H140" s="339">
        <f t="shared" si="42"/>
        <v>77.3</v>
      </c>
      <c r="I140" s="339">
        <v>82.600000000000009</v>
      </c>
      <c r="J140" s="339">
        <f>+J104</f>
        <v>126.69999999999999</v>
      </c>
      <c r="K140" s="338">
        <f>+K104</f>
        <v>343.8</v>
      </c>
      <c r="L140" s="340">
        <f>+L104</f>
        <v>77.699999999999989</v>
      </c>
    </row>
    <row r="141" spans="1:12" x14ac:dyDescent="0.25">
      <c r="A141" s="341" t="s">
        <v>179</v>
      </c>
      <c r="B141" s="340">
        <f t="shared" ref="B141:H141" si="43">+B103</f>
        <v>216.44</v>
      </c>
      <c r="C141" s="339">
        <f t="shared" si="43"/>
        <v>312.85000000000002</v>
      </c>
      <c r="D141" s="339">
        <f t="shared" si="43"/>
        <v>310.55</v>
      </c>
      <c r="E141" s="339">
        <f t="shared" si="43"/>
        <v>463.3</v>
      </c>
      <c r="F141" s="340">
        <f t="shared" si="43"/>
        <v>1303.0999999999999</v>
      </c>
      <c r="G141" s="340">
        <f t="shared" si="43"/>
        <v>243.3</v>
      </c>
      <c r="H141" s="339">
        <f t="shared" si="43"/>
        <v>330.82</v>
      </c>
      <c r="I141" s="339">
        <v>353.70000000000016</v>
      </c>
      <c r="J141" s="339">
        <f>+J103</f>
        <v>542.39999999999941</v>
      </c>
      <c r="K141" s="338">
        <f>+K103</f>
        <v>1470.2599999999998</v>
      </c>
      <c r="L141" s="340">
        <f>+L103</f>
        <v>351.59999999999945</v>
      </c>
    </row>
    <row r="142" spans="1:12" x14ac:dyDescent="0.25">
      <c r="A142" s="330" t="s">
        <v>82</v>
      </c>
      <c r="B142" s="337">
        <f t="shared" ref="B142:H142" si="44">+B107</f>
        <v>1.91</v>
      </c>
      <c r="C142" s="336">
        <f t="shared" si="44"/>
        <v>1.23</v>
      </c>
      <c r="D142" s="336">
        <f t="shared" si="44"/>
        <v>1.04</v>
      </c>
      <c r="E142" s="336">
        <f t="shared" si="44"/>
        <v>2.29</v>
      </c>
      <c r="F142" s="337">
        <f t="shared" si="44"/>
        <v>6.47</v>
      </c>
      <c r="G142" s="337">
        <f t="shared" si="44"/>
        <v>-0.1</v>
      </c>
      <c r="H142" s="336">
        <f t="shared" si="44"/>
        <v>0.9</v>
      </c>
      <c r="I142" s="336">
        <v>1.2</v>
      </c>
      <c r="J142" s="336">
        <f>+J107</f>
        <v>0.7</v>
      </c>
      <c r="K142" s="335">
        <f>+K107</f>
        <v>2.7</v>
      </c>
      <c r="L142" s="337">
        <f>+L107</f>
        <v>6.4</v>
      </c>
    </row>
    <row r="143" spans="1:12" x14ac:dyDescent="0.25">
      <c r="A143" s="334" t="s">
        <v>178</v>
      </c>
      <c r="B143" s="333">
        <f t="shared" ref="B143:H143" si="45">+B141-B142</f>
        <v>214.53</v>
      </c>
      <c r="C143" s="332">
        <f t="shared" si="45"/>
        <v>311.62</v>
      </c>
      <c r="D143" s="332">
        <f t="shared" si="45"/>
        <v>309.51</v>
      </c>
      <c r="E143" s="332">
        <f t="shared" si="45"/>
        <v>461.01</v>
      </c>
      <c r="F143" s="333">
        <f t="shared" si="45"/>
        <v>1296.6299999999999</v>
      </c>
      <c r="G143" s="333">
        <f t="shared" si="45"/>
        <v>243.4</v>
      </c>
      <c r="H143" s="332">
        <f t="shared" si="45"/>
        <v>329.92</v>
      </c>
      <c r="I143" s="332">
        <v>352.50000000000017</v>
      </c>
      <c r="J143" s="332">
        <f>+J141-J142</f>
        <v>541.69999999999936</v>
      </c>
      <c r="K143" s="331">
        <f>+K141-K142</f>
        <v>1467.5599999999997</v>
      </c>
      <c r="L143" s="333">
        <f t="shared" ref="L143" si="46">+L141-L142</f>
        <v>345.19999999999948</v>
      </c>
    </row>
    <row r="144" spans="1:12" x14ac:dyDescent="0.25">
      <c r="A144" s="330" t="s">
        <v>177</v>
      </c>
      <c r="B144" s="329">
        <f t="shared" ref="B144:H144" si="47">+B140/B143</f>
        <v>0.28993613946767355</v>
      </c>
      <c r="C144" s="328">
        <f t="shared" si="47"/>
        <v>0.27174122328476991</v>
      </c>
      <c r="D144" s="328">
        <f t="shared" si="47"/>
        <v>0.28199411973764987</v>
      </c>
      <c r="E144" s="328">
        <f t="shared" si="47"/>
        <v>0.28697859048610663</v>
      </c>
      <c r="F144" s="329">
        <f t="shared" si="47"/>
        <v>0.28267894464882043</v>
      </c>
      <c r="G144" s="329">
        <f t="shared" si="47"/>
        <v>0.23500410846343467</v>
      </c>
      <c r="H144" s="328">
        <f t="shared" si="47"/>
        <v>0.23429922405431619</v>
      </c>
      <c r="I144" s="328">
        <f>+I140/I143</f>
        <v>0.23432624113475167</v>
      </c>
      <c r="J144" s="328">
        <f>+J140/J143</f>
        <v>0.23389329887391572</v>
      </c>
      <c r="K144" s="327">
        <f>+K140/K143</f>
        <v>0.2342664013737088</v>
      </c>
      <c r="L144" s="329">
        <f t="shared" ref="L144" si="48">+L140/L143</f>
        <v>0.22508690614136764</v>
      </c>
    </row>
    <row r="145" spans="1:11" x14ac:dyDescent="0.25">
      <c r="A145" s="110" t="s">
        <v>176</v>
      </c>
      <c r="B145" s="43"/>
      <c r="C145" s="43"/>
      <c r="D145" s="43"/>
      <c r="E145" s="43"/>
      <c r="F145" s="43"/>
    </row>
    <row r="146" spans="1:11" ht="48.6" customHeight="1" x14ac:dyDescent="0.25">
      <c r="A146" s="492" t="s">
        <v>240</v>
      </c>
      <c r="B146" s="493"/>
      <c r="C146" s="493"/>
      <c r="D146" s="493"/>
      <c r="E146" s="493"/>
      <c r="F146" s="493"/>
      <c r="G146" s="494"/>
      <c r="H146" s="494"/>
      <c r="I146" s="494"/>
      <c r="J146" s="494"/>
      <c r="K146" s="494"/>
    </row>
    <row r="147" spans="1:11" x14ac:dyDescent="0.25">
      <c r="A147" s="108" t="s">
        <v>175</v>
      </c>
      <c r="B147" s="43"/>
      <c r="C147" s="43"/>
      <c r="D147" s="43"/>
      <c r="E147" s="43"/>
      <c r="F147" s="43"/>
    </row>
    <row r="148" spans="1:11" x14ac:dyDescent="0.25">
      <c r="A148" s="79"/>
      <c r="B148" s="43"/>
      <c r="C148" s="43"/>
      <c r="D148" s="43"/>
      <c r="E148" s="43"/>
      <c r="F148" s="43"/>
    </row>
  </sheetData>
  <mergeCells count="1">
    <mergeCell ref="A146:K146"/>
  </mergeCells>
  <pageMargins left="0.45" right="0.45" top="0.75" bottom="0.5" header="0.3" footer="0.3"/>
  <pageSetup scale="74" fitToHeight="3" orientation="landscape" horizontalDpi="4294967293" verticalDpi="4294967293" r:id="rId1"/>
  <rowBreaks count="1" manualBreakCount="1">
    <brk id="84"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0"/>
  <sheetViews>
    <sheetView workbookViewId="0">
      <pane xSplit="2" ySplit="3" topLeftCell="C4" activePane="bottomRight" state="frozen"/>
      <selection activeCell="B55" sqref="B55"/>
      <selection pane="topRight" activeCell="B55" sqref="B55"/>
      <selection pane="bottomLeft" activeCell="B55" sqref="B55"/>
      <selection pane="bottomRight" activeCell="B1" sqref="B1"/>
    </sheetView>
  </sheetViews>
  <sheetFormatPr defaultColWidth="9.140625" defaultRowHeight="15" outlineLevelCol="1" x14ac:dyDescent="0.25"/>
  <cols>
    <col min="1" max="1" width="1.5703125" style="431" customWidth="1"/>
    <col min="2" max="2" width="42.5703125" style="479" customWidth="1"/>
    <col min="3" max="6" width="9.140625" style="431" customWidth="1" outlineLevel="1"/>
    <col min="7" max="7" width="10.140625" style="431" bestFit="1" customWidth="1"/>
    <col min="8" max="11" width="9.140625" style="431" customWidth="1" outlineLevel="1"/>
    <col min="12" max="12" width="10.140625" style="431" customWidth="1"/>
    <col min="13" max="14" width="9.140625" style="431" customWidth="1"/>
    <col min="15" max="16384" width="9.140625" style="431"/>
  </cols>
  <sheetData>
    <row r="1" spans="1:14" s="480" customFormat="1" x14ac:dyDescent="0.25">
      <c r="A1" s="41" t="s">
        <v>247</v>
      </c>
    </row>
    <row r="2" spans="1:14" s="480" customFormat="1" x14ac:dyDescent="0.25">
      <c r="A2" s="42" t="s">
        <v>61</v>
      </c>
      <c r="B2" s="161"/>
      <c r="C2" s="161" t="s">
        <v>54</v>
      </c>
      <c r="D2" s="161" t="s">
        <v>54</v>
      </c>
      <c r="E2" s="161" t="s">
        <v>54</v>
      </c>
      <c r="F2" s="161" t="s">
        <v>54</v>
      </c>
    </row>
    <row r="3" spans="1:14" x14ac:dyDescent="0.25">
      <c r="A3" s="3"/>
      <c r="B3" s="1"/>
      <c r="C3" s="46" t="s">
        <v>0</v>
      </c>
      <c r="D3" s="47" t="s">
        <v>1</v>
      </c>
      <c r="E3" s="47" t="s">
        <v>45</v>
      </c>
      <c r="F3" s="47" t="s">
        <v>46</v>
      </c>
      <c r="G3" s="178">
        <v>2017</v>
      </c>
      <c r="H3" s="46" t="s">
        <v>47</v>
      </c>
      <c r="I3" s="47" t="s">
        <v>44</v>
      </c>
      <c r="J3" s="47" t="s">
        <v>57</v>
      </c>
      <c r="K3" s="47" t="s">
        <v>58</v>
      </c>
      <c r="L3" s="178">
        <v>2018</v>
      </c>
      <c r="M3" s="46" t="s">
        <v>105</v>
      </c>
      <c r="N3" s="469"/>
    </row>
    <row r="4" spans="1:14" x14ac:dyDescent="0.25">
      <c r="A4" s="3"/>
      <c r="B4" s="7" t="s">
        <v>9</v>
      </c>
      <c r="C4" s="60"/>
      <c r="D4" s="3"/>
      <c r="E4" s="3"/>
      <c r="F4" s="3"/>
      <c r="G4" s="60"/>
      <c r="H4" s="60"/>
      <c r="I4" s="3"/>
      <c r="J4" s="3"/>
      <c r="K4" s="3"/>
      <c r="L4" s="4"/>
      <c r="M4" s="60"/>
    </row>
    <row r="5" spans="1:14" x14ac:dyDescent="0.25">
      <c r="A5" s="3"/>
      <c r="B5" s="1" t="s">
        <v>99</v>
      </c>
      <c r="C5" s="61">
        <v>240.1</v>
      </c>
      <c r="D5" s="28">
        <v>256.8</v>
      </c>
      <c r="E5" s="28">
        <v>263.89999999999998</v>
      </c>
      <c r="F5" s="28">
        <v>300.8</v>
      </c>
      <c r="G5" s="61">
        <f>+C5+D5+E5+F5</f>
        <v>1061.5999999999999</v>
      </c>
      <c r="H5" s="61">
        <v>273.89999999999998</v>
      </c>
      <c r="I5" s="31">
        <v>276.39999999999998</v>
      </c>
      <c r="J5" s="31">
        <v>282.3</v>
      </c>
      <c r="K5" s="31">
        <v>323.39999999999998</v>
      </c>
      <c r="L5" s="61">
        <f>+H5+I5+J5+K5</f>
        <v>1156</v>
      </c>
      <c r="M5" s="61">
        <v>302.5</v>
      </c>
      <c r="N5" s="454"/>
    </row>
    <row r="6" spans="1:14" x14ac:dyDescent="0.25">
      <c r="A6" s="3"/>
      <c r="B6" s="1" t="s">
        <v>236</v>
      </c>
      <c r="C6" s="61">
        <v>101.8</v>
      </c>
      <c r="D6" s="28">
        <v>108.1</v>
      </c>
      <c r="E6" s="28">
        <v>108.6</v>
      </c>
      <c r="F6" s="28">
        <v>133.80000000000001</v>
      </c>
      <c r="G6" s="61">
        <f t="shared" ref="G6:G11" si="0">+C6+D6+E6+F6</f>
        <v>452.3</v>
      </c>
      <c r="H6" s="61">
        <v>135.6</v>
      </c>
      <c r="I6" s="31">
        <v>141.1</v>
      </c>
      <c r="J6" s="31">
        <v>143.1</v>
      </c>
      <c r="K6" s="31">
        <v>154.69999999999999</v>
      </c>
      <c r="L6" s="61">
        <f t="shared" ref="L6:L11" si="1">+H6+I6+J6+K6</f>
        <v>574.5</v>
      </c>
      <c r="M6" s="61">
        <v>148</v>
      </c>
      <c r="N6" s="454"/>
    </row>
    <row r="7" spans="1:14" x14ac:dyDescent="0.25">
      <c r="A7" s="3"/>
      <c r="B7" s="1" t="s">
        <v>11</v>
      </c>
      <c r="C7" s="61">
        <v>57.5</v>
      </c>
      <c r="D7" s="28">
        <v>61.9</v>
      </c>
      <c r="E7" s="28">
        <v>59.4</v>
      </c>
      <c r="F7" s="28">
        <v>67.900000000000006</v>
      </c>
      <c r="G7" s="61">
        <f t="shared" si="0"/>
        <v>246.70000000000002</v>
      </c>
      <c r="H7" s="61">
        <v>59.5</v>
      </c>
      <c r="I7" s="31">
        <v>64.8</v>
      </c>
      <c r="J7" s="31">
        <v>65</v>
      </c>
      <c r="K7" s="31">
        <v>73.900000000000006</v>
      </c>
      <c r="L7" s="61">
        <f t="shared" si="1"/>
        <v>263.20000000000005</v>
      </c>
      <c r="M7" s="61">
        <v>61.9</v>
      </c>
      <c r="N7" s="454"/>
    </row>
    <row r="8" spans="1:14" x14ac:dyDescent="0.25">
      <c r="A8" s="3"/>
      <c r="B8" s="1" t="s">
        <v>52</v>
      </c>
      <c r="C8" s="61">
        <v>33.5</v>
      </c>
      <c r="D8" s="28">
        <v>37.200000000000003</v>
      </c>
      <c r="E8" s="28">
        <v>36</v>
      </c>
      <c r="F8" s="28">
        <v>39.700000000000003</v>
      </c>
      <c r="G8" s="61">
        <f t="shared" si="0"/>
        <v>146.4</v>
      </c>
      <c r="H8" s="61">
        <v>39.5</v>
      </c>
      <c r="I8" s="31">
        <v>41.3</v>
      </c>
      <c r="J8" s="31">
        <v>43.9</v>
      </c>
      <c r="K8" s="31">
        <v>47.3</v>
      </c>
      <c r="L8" s="61">
        <f t="shared" si="1"/>
        <v>172</v>
      </c>
      <c r="M8" s="61">
        <v>42.9</v>
      </c>
      <c r="N8" s="454"/>
    </row>
    <row r="9" spans="1:14" x14ac:dyDescent="0.25">
      <c r="A9" s="3"/>
      <c r="B9" s="1" t="s">
        <v>100</v>
      </c>
      <c r="C9" s="61">
        <v>375.2</v>
      </c>
      <c r="D9" s="28">
        <v>427.9</v>
      </c>
      <c r="E9" s="28">
        <v>485.9</v>
      </c>
      <c r="F9" s="28">
        <v>650.79999999999995</v>
      </c>
      <c r="G9" s="61">
        <f t="shared" si="0"/>
        <v>1939.8</v>
      </c>
      <c r="H9" s="61">
        <v>381.8</v>
      </c>
      <c r="I9" s="31">
        <v>505</v>
      </c>
      <c r="J9" s="31">
        <v>574.4</v>
      </c>
      <c r="K9" s="31">
        <v>843</v>
      </c>
      <c r="L9" s="61">
        <f t="shared" si="1"/>
        <v>2304.1999999999998</v>
      </c>
      <c r="M9" s="61">
        <v>480.2</v>
      </c>
      <c r="N9" s="454"/>
    </row>
    <row r="10" spans="1:14" x14ac:dyDescent="0.25">
      <c r="A10" s="3"/>
      <c r="B10" s="1" t="s">
        <v>241</v>
      </c>
      <c r="C10" s="61">
        <v>242.1</v>
      </c>
      <c r="D10" s="28">
        <v>271.7</v>
      </c>
      <c r="E10" s="28">
        <v>295.60000000000002</v>
      </c>
      <c r="F10" s="28">
        <v>337</v>
      </c>
      <c r="G10" s="61">
        <f t="shared" si="0"/>
        <v>1146.4000000000001</v>
      </c>
      <c r="H10" s="61">
        <v>272.2</v>
      </c>
      <c r="I10" s="31">
        <v>285.39999999999998</v>
      </c>
      <c r="J10" s="31">
        <v>304.10000000000002</v>
      </c>
      <c r="K10" s="31">
        <v>365.7</v>
      </c>
      <c r="L10" s="61">
        <f t="shared" si="1"/>
        <v>1227.3999999999999</v>
      </c>
      <c r="M10" s="61">
        <v>260.10000000000002</v>
      </c>
      <c r="N10" s="454"/>
    </row>
    <row r="11" spans="1:14" x14ac:dyDescent="0.25">
      <c r="A11" s="11"/>
      <c r="B11" s="10" t="s">
        <v>239</v>
      </c>
      <c r="C11" s="75">
        <v>83</v>
      </c>
      <c r="D11" s="74">
        <v>102.4</v>
      </c>
      <c r="E11" s="74">
        <v>107.9</v>
      </c>
      <c r="F11" s="74">
        <v>152.5</v>
      </c>
      <c r="G11" s="76">
        <f t="shared" si="0"/>
        <v>445.8</v>
      </c>
      <c r="H11" s="75">
        <v>106.2</v>
      </c>
      <c r="I11" s="30">
        <v>118.8</v>
      </c>
      <c r="J11" s="30">
        <v>130.69999999999999</v>
      </c>
      <c r="K11" s="30">
        <v>174</v>
      </c>
      <c r="L11" s="76">
        <f t="shared" si="1"/>
        <v>529.70000000000005</v>
      </c>
      <c r="M11" s="75">
        <v>118.6</v>
      </c>
      <c r="N11" s="454"/>
    </row>
    <row r="12" spans="1:14" s="471" customFormat="1" x14ac:dyDescent="0.25">
      <c r="A12" s="8"/>
      <c r="B12" s="7" t="s">
        <v>12</v>
      </c>
      <c r="C12" s="66">
        <f>SUM(C5:C11)</f>
        <v>1133.1999999999998</v>
      </c>
      <c r="D12" s="29">
        <f>SUM(D5:D11)</f>
        <v>1266</v>
      </c>
      <c r="E12" s="29">
        <f>SUM(E5:E11)</f>
        <v>1357.3000000000002</v>
      </c>
      <c r="F12" s="29">
        <f>SUM(F4:F11)</f>
        <v>1682.5</v>
      </c>
      <c r="G12" s="66">
        <f>SUM(G5:G11)</f>
        <v>5439.0000000000009</v>
      </c>
      <c r="H12" s="66">
        <f>SUM(H5:H11)</f>
        <v>1268.7</v>
      </c>
      <c r="I12" s="29">
        <f>SUM(I5:I11)</f>
        <v>1432.8</v>
      </c>
      <c r="J12" s="29">
        <f>SUM(J5:J11)</f>
        <v>1543.4999999999998</v>
      </c>
      <c r="K12" s="29">
        <f>SUM(K4:K11)</f>
        <v>1982</v>
      </c>
      <c r="L12" s="66">
        <f>SUM(L5:L11)</f>
        <v>6226.9999999999991</v>
      </c>
      <c r="M12" s="66">
        <f>SUM(M5:M11)</f>
        <v>1414.1999999999998</v>
      </c>
      <c r="N12" s="470"/>
    </row>
    <row r="13" spans="1:14" s="471" customFormat="1" x14ac:dyDescent="0.25">
      <c r="A13" s="6"/>
      <c r="B13" s="5" t="s">
        <v>101</v>
      </c>
      <c r="C13" s="155">
        <v>236.6</v>
      </c>
      <c r="D13" s="154">
        <v>249.9</v>
      </c>
      <c r="E13" s="154">
        <v>251.8</v>
      </c>
      <c r="F13" s="154">
        <v>329.7</v>
      </c>
      <c r="G13" s="155">
        <f>+C13+D13+E13+F13</f>
        <v>1068</v>
      </c>
      <c r="H13" s="155">
        <v>240</v>
      </c>
      <c r="I13" s="156">
        <v>274.10000000000002</v>
      </c>
      <c r="J13" s="156">
        <v>275.39999999999998</v>
      </c>
      <c r="K13" s="156">
        <v>388.9</v>
      </c>
      <c r="L13" s="155">
        <f>+H13+I13+J13+K13</f>
        <v>1178.4000000000001</v>
      </c>
      <c r="M13" s="155">
        <v>299.89999999999998</v>
      </c>
      <c r="N13" s="470"/>
    </row>
    <row r="14" spans="1:14" x14ac:dyDescent="0.25">
      <c r="A14" s="11"/>
      <c r="B14" s="10" t="s">
        <v>102</v>
      </c>
      <c r="C14" s="39">
        <f t="shared" ref="C14:M14" si="2">C13/C12</f>
        <v>0.20878926932580305</v>
      </c>
      <c r="D14" s="40">
        <f t="shared" si="2"/>
        <v>0.19739336492890996</v>
      </c>
      <c r="E14" s="40">
        <f t="shared" si="2"/>
        <v>0.18551536137920871</v>
      </c>
      <c r="F14" s="40">
        <f t="shared" si="2"/>
        <v>0.19595839524517086</v>
      </c>
      <c r="G14" s="39">
        <f t="shared" si="2"/>
        <v>0.19635962493105347</v>
      </c>
      <c r="H14" s="39">
        <f t="shared" si="2"/>
        <v>0.18917001655237645</v>
      </c>
      <c r="I14" s="127">
        <f t="shared" si="2"/>
        <v>0.19130374092685654</v>
      </c>
      <c r="J14" s="127">
        <f t="shared" si="2"/>
        <v>0.17842565597667639</v>
      </c>
      <c r="K14" s="127">
        <f t="shared" si="2"/>
        <v>0.1962159434914228</v>
      </c>
      <c r="L14" s="133">
        <f t="shared" si="2"/>
        <v>0.18924040468925651</v>
      </c>
      <c r="M14" s="39">
        <f t="shared" si="2"/>
        <v>0.21206335737519447</v>
      </c>
      <c r="N14" s="472"/>
    </row>
    <row r="15" spans="1:14" x14ac:dyDescent="0.25">
      <c r="A15" s="3"/>
      <c r="B15" s="1" t="s">
        <v>13</v>
      </c>
      <c r="C15" s="63">
        <f>2639.2-C12</f>
        <v>1506</v>
      </c>
      <c r="D15" s="31">
        <f>2826.9-D12</f>
        <v>1560.9</v>
      </c>
      <c r="E15" s="31">
        <f>2939.6-E12</f>
        <v>1582.2999999999997</v>
      </c>
      <c r="F15" s="31">
        <f>3385.6-F12</f>
        <v>1703.1</v>
      </c>
      <c r="G15" s="63">
        <f>+C15+D15+E15+F15</f>
        <v>6352.2999999999993</v>
      </c>
      <c r="H15" s="63">
        <f>2850.2-H12</f>
        <v>1581.4999999999998</v>
      </c>
      <c r="I15" s="31">
        <f>3140.4-I12</f>
        <v>1707.6000000000001</v>
      </c>
      <c r="J15" s="31">
        <f>3280.7-J12</f>
        <v>1737.2</v>
      </c>
      <c r="K15" s="31">
        <f>3860.5-K12</f>
        <v>1878.5</v>
      </c>
      <c r="L15" s="63">
        <f>+H15+I15+J15+K15</f>
        <v>6904.8</v>
      </c>
      <c r="M15" s="63">
        <f>3233.2-M12</f>
        <v>1819</v>
      </c>
      <c r="N15" s="473"/>
    </row>
    <row r="16" spans="1:14" x14ac:dyDescent="0.25">
      <c r="A16" s="3"/>
      <c r="B16" s="1" t="s">
        <v>2</v>
      </c>
      <c r="C16" s="61">
        <f t="shared" ref="C16:M16" si="3">+C12+C15</f>
        <v>2639.2</v>
      </c>
      <c r="D16" s="454">
        <f t="shared" si="3"/>
        <v>2826.9</v>
      </c>
      <c r="E16" s="454">
        <f t="shared" si="3"/>
        <v>2939.6</v>
      </c>
      <c r="F16" s="454">
        <f t="shared" si="3"/>
        <v>3385.6</v>
      </c>
      <c r="G16" s="61">
        <f t="shared" si="3"/>
        <v>11791.3</v>
      </c>
      <c r="H16" s="61">
        <f t="shared" si="3"/>
        <v>2850.2</v>
      </c>
      <c r="I16" s="454">
        <f t="shared" si="3"/>
        <v>3140.4</v>
      </c>
      <c r="J16" s="454">
        <f t="shared" si="3"/>
        <v>3280.7</v>
      </c>
      <c r="K16" s="454">
        <f t="shared" si="3"/>
        <v>3860.5</v>
      </c>
      <c r="L16" s="61">
        <f t="shared" si="3"/>
        <v>13131.8</v>
      </c>
      <c r="M16" s="61">
        <f t="shared" si="3"/>
        <v>3233.2</v>
      </c>
      <c r="N16" s="454"/>
    </row>
    <row r="17" spans="1:14" x14ac:dyDescent="0.25">
      <c r="A17" s="70"/>
      <c r="B17" s="71"/>
      <c r="C17" s="72"/>
      <c r="D17" s="70"/>
      <c r="E17" s="70"/>
      <c r="F17" s="70"/>
      <c r="G17" s="72"/>
      <c r="H17" s="72"/>
      <c r="I17" s="70"/>
      <c r="J17" s="70"/>
      <c r="K17" s="70"/>
      <c r="L17" s="130"/>
      <c r="M17" s="72"/>
    </row>
    <row r="18" spans="1:14" s="475" customFormat="1" x14ac:dyDescent="0.25">
      <c r="A18" s="32"/>
      <c r="B18" s="7" t="s">
        <v>48</v>
      </c>
      <c r="C18" s="68"/>
      <c r="D18" s="35"/>
      <c r="E18" s="35"/>
      <c r="F18" s="35"/>
      <c r="G18" s="65"/>
      <c r="H18" s="68"/>
      <c r="I18" s="126"/>
      <c r="J18" s="126"/>
      <c r="K18" s="126"/>
      <c r="L18" s="132"/>
      <c r="M18" s="68"/>
      <c r="N18" s="474"/>
    </row>
    <row r="19" spans="1:14" s="475" customFormat="1" x14ac:dyDescent="0.25">
      <c r="A19" s="32"/>
      <c r="B19" s="1" t="s">
        <v>99</v>
      </c>
      <c r="C19" s="62"/>
      <c r="D19" s="33"/>
      <c r="E19" s="33"/>
      <c r="F19" s="33"/>
      <c r="G19" s="62"/>
      <c r="H19" s="62">
        <f t="shared" ref="H19:M26" si="4">H5/C5-1</f>
        <v>0.14077467721782577</v>
      </c>
      <c r="I19" s="124">
        <f t="shared" si="4"/>
        <v>7.6323987538940763E-2</v>
      </c>
      <c r="J19" s="124">
        <f t="shared" si="4"/>
        <v>6.9723380068207774E-2</v>
      </c>
      <c r="K19" s="124">
        <f t="shared" si="4"/>
        <v>7.5132978723404076E-2</v>
      </c>
      <c r="L19" s="129">
        <f t="shared" si="4"/>
        <v>8.8922381311228538E-2</v>
      </c>
      <c r="M19" s="62">
        <f t="shared" si="4"/>
        <v>0.10441767068273111</v>
      </c>
      <c r="N19" s="472"/>
    </row>
    <row r="20" spans="1:14" s="475" customFormat="1" x14ac:dyDescent="0.25">
      <c r="A20" s="32"/>
      <c r="B20" s="1" t="str">
        <f>+B6</f>
        <v>Property &amp; Advisory Project Management</v>
      </c>
      <c r="C20" s="62"/>
      <c r="D20" s="33"/>
      <c r="E20" s="33"/>
      <c r="F20" s="33"/>
      <c r="G20" s="62"/>
      <c r="H20" s="62">
        <f t="shared" si="4"/>
        <v>0.33202357563850682</v>
      </c>
      <c r="I20" s="124">
        <f t="shared" si="4"/>
        <v>0.30527289546715997</v>
      </c>
      <c r="J20" s="124">
        <f t="shared" si="4"/>
        <v>0.31767955801104963</v>
      </c>
      <c r="K20" s="124">
        <f t="shared" si="4"/>
        <v>0.15620328849028375</v>
      </c>
      <c r="L20" s="129">
        <f t="shared" si="4"/>
        <v>0.27017466283440195</v>
      </c>
      <c r="M20" s="62">
        <f t="shared" si="4"/>
        <v>9.1445427728613637E-2</v>
      </c>
      <c r="N20" s="472"/>
    </row>
    <row r="21" spans="1:14" s="475" customFormat="1" x14ac:dyDescent="0.25">
      <c r="A21" s="32"/>
      <c r="B21" s="1" t="s">
        <v>11</v>
      </c>
      <c r="C21" s="62"/>
      <c r="D21" s="33"/>
      <c r="E21" s="33"/>
      <c r="F21" s="33"/>
      <c r="G21" s="62"/>
      <c r="H21" s="62">
        <f t="shared" si="4"/>
        <v>3.4782608695652195E-2</v>
      </c>
      <c r="I21" s="124">
        <f t="shared" si="4"/>
        <v>4.684975767366728E-2</v>
      </c>
      <c r="J21" s="124">
        <f t="shared" si="4"/>
        <v>9.4276094276094291E-2</v>
      </c>
      <c r="K21" s="124">
        <f t="shared" si="4"/>
        <v>8.836524300441817E-2</v>
      </c>
      <c r="L21" s="129">
        <f t="shared" si="4"/>
        <v>6.6882853668423392E-2</v>
      </c>
      <c r="M21" s="62">
        <f t="shared" si="4"/>
        <v>4.0336134453781591E-2</v>
      </c>
      <c r="N21" s="472"/>
    </row>
    <row r="22" spans="1:14" s="475" customFormat="1" x14ac:dyDescent="0.25">
      <c r="A22" s="32"/>
      <c r="B22" s="1" t="s">
        <v>52</v>
      </c>
      <c r="C22" s="62"/>
      <c r="D22" s="33"/>
      <c r="E22" s="33"/>
      <c r="F22" s="33"/>
      <c r="G22" s="62"/>
      <c r="H22" s="62">
        <f t="shared" si="4"/>
        <v>0.17910447761194037</v>
      </c>
      <c r="I22" s="124">
        <f t="shared" si="4"/>
        <v>0.11021505376344076</v>
      </c>
      <c r="J22" s="124">
        <f t="shared" si="4"/>
        <v>0.21944444444444433</v>
      </c>
      <c r="K22" s="124">
        <f t="shared" si="4"/>
        <v>0.19143576826196451</v>
      </c>
      <c r="L22" s="129">
        <f t="shared" si="4"/>
        <v>0.17486338797814205</v>
      </c>
      <c r="M22" s="62">
        <f t="shared" si="4"/>
        <v>8.6075949367088622E-2</v>
      </c>
      <c r="N22" s="472"/>
    </row>
    <row r="23" spans="1:14" s="475" customFormat="1" x14ac:dyDescent="0.25">
      <c r="A23" s="32"/>
      <c r="B23" s="1" t="s">
        <v>100</v>
      </c>
      <c r="C23" s="62"/>
      <c r="D23" s="33"/>
      <c r="E23" s="33"/>
      <c r="F23" s="33"/>
      <c r="G23" s="62"/>
      <c r="H23" s="62">
        <f t="shared" si="4"/>
        <v>1.7590618336887021E-2</v>
      </c>
      <c r="I23" s="124">
        <f t="shared" si="4"/>
        <v>0.18018228558074312</v>
      </c>
      <c r="J23" s="124">
        <f t="shared" si="4"/>
        <v>0.18213624202510803</v>
      </c>
      <c r="K23" s="124">
        <f t="shared" si="4"/>
        <v>0.29532882606023358</v>
      </c>
      <c r="L23" s="129">
        <f t="shared" si="4"/>
        <v>0.18785441798123514</v>
      </c>
      <c r="M23" s="62">
        <f t="shared" si="4"/>
        <v>0.25772655840754322</v>
      </c>
      <c r="N23" s="472"/>
    </row>
    <row r="24" spans="1:14" s="475" customFormat="1" x14ac:dyDescent="0.25">
      <c r="A24" s="32"/>
      <c r="B24" s="1" t="s">
        <v>241</v>
      </c>
      <c r="C24" s="62"/>
      <c r="D24" s="33"/>
      <c r="E24" s="33"/>
      <c r="F24" s="33"/>
      <c r="G24" s="62"/>
      <c r="H24" s="62">
        <f t="shared" si="4"/>
        <v>0.12432878975629902</v>
      </c>
      <c r="I24" s="124">
        <f t="shared" si="4"/>
        <v>5.042326094957672E-2</v>
      </c>
      <c r="J24" s="124">
        <f t="shared" si="4"/>
        <v>2.8755074424898552E-2</v>
      </c>
      <c r="K24" s="124">
        <f t="shared" si="4"/>
        <v>8.516320474777439E-2</v>
      </c>
      <c r="L24" s="129">
        <f t="shared" si="4"/>
        <v>7.0655966503837986E-2</v>
      </c>
      <c r="M24" s="62">
        <f t="shared" si="4"/>
        <v>-4.4452608376193803E-2</v>
      </c>
      <c r="N24" s="472"/>
    </row>
    <row r="25" spans="1:14" s="475" customFormat="1" x14ac:dyDescent="0.25">
      <c r="A25" s="69"/>
      <c r="B25" s="10" t="str">
        <f>+B11</f>
        <v>Commercial Mortgage Origination</v>
      </c>
      <c r="C25" s="39"/>
      <c r="D25" s="40"/>
      <c r="E25" s="40"/>
      <c r="F25" s="40"/>
      <c r="G25" s="39"/>
      <c r="H25" s="39">
        <f t="shared" si="4"/>
        <v>0.27951807228915659</v>
      </c>
      <c r="I25" s="127">
        <f t="shared" si="4"/>
        <v>0.16015625</v>
      </c>
      <c r="J25" s="127">
        <f t="shared" si="4"/>
        <v>0.21130676552363292</v>
      </c>
      <c r="K25" s="127">
        <f t="shared" si="4"/>
        <v>0.14098360655737707</v>
      </c>
      <c r="L25" s="133">
        <f t="shared" si="4"/>
        <v>0.18820098698968146</v>
      </c>
      <c r="M25" s="39">
        <f t="shared" si="4"/>
        <v>0.11676082862523529</v>
      </c>
      <c r="N25" s="472"/>
    </row>
    <row r="26" spans="1:14" s="475" customFormat="1" x14ac:dyDescent="0.25">
      <c r="A26" s="32"/>
      <c r="B26" s="7" t="s">
        <v>12</v>
      </c>
      <c r="C26" s="62"/>
      <c r="D26" s="33"/>
      <c r="E26" s="33"/>
      <c r="F26" s="33"/>
      <c r="G26" s="62"/>
      <c r="H26" s="62">
        <f t="shared" si="4"/>
        <v>0.11957289092834467</v>
      </c>
      <c r="I26" s="124">
        <f t="shared" si="4"/>
        <v>0.13175355450236959</v>
      </c>
      <c r="J26" s="124">
        <f t="shared" si="4"/>
        <v>0.13718411552346543</v>
      </c>
      <c r="K26" s="124">
        <f t="shared" si="4"/>
        <v>0.17800891530460627</v>
      </c>
      <c r="L26" s="129">
        <f t="shared" si="4"/>
        <v>0.14487957345100155</v>
      </c>
      <c r="M26" s="62">
        <f t="shared" si="4"/>
        <v>0.11468432253487815</v>
      </c>
      <c r="N26" s="472"/>
    </row>
    <row r="27" spans="1:14" s="475" customFormat="1" ht="4.5" customHeight="1" x14ac:dyDescent="0.25">
      <c r="A27" s="32"/>
      <c r="B27" s="34"/>
      <c r="C27" s="68"/>
      <c r="D27" s="35"/>
      <c r="E27" s="35"/>
      <c r="F27" s="35"/>
      <c r="G27" s="65"/>
      <c r="H27" s="68"/>
      <c r="I27" s="126"/>
      <c r="J27" s="126"/>
      <c r="K27" s="126"/>
      <c r="L27" s="132"/>
      <c r="M27" s="68"/>
      <c r="N27" s="474"/>
    </row>
    <row r="28" spans="1:14" s="475" customFormat="1" x14ac:dyDescent="0.25">
      <c r="A28" s="36"/>
      <c r="B28" s="37"/>
      <c r="C28" s="67"/>
      <c r="D28" s="38"/>
      <c r="E28" s="38"/>
      <c r="F28" s="38"/>
      <c r="G28" s="64"/>
      <c r="H28" s="67"/>
      <c r="I28" s="125"/>
      <c r="J28" s="125"/>
      <c r="K28" s="125"/>
      <c r="L28" s="131"/>
      <c r="M28" s="67"/>
      <c r="N28" s="474"/>
    </row>
    <row r="29" spans="1:14" x14ac:dyDescent="0.25">
      <c r="A29" s="3"/>
      <c r="B29" s="7" t="s">
        <v>10</v>
      </c>
      <c r="C29" s="60"/>
      <c r="D29" s="9"/>
      <c r="E29" s="9"/>
      <c r="F29" s="9"/>
      <c r="G29" s="60"/>
      <c r="H29" s="60"/>
      <c r="I29" s="128"/>
      <c r="J29" s="128"/>
      <c r="K29" s="128"/>
      <c r="L29" s="134"/>
      <c r="M29" s="60"/>
      <c r="N29" s="476"/>
    </row>
    <row r="30" spans="1:14" x14ac:dyDescent="0.25">
      <c r="A30" s="3"/>
      <c r="B30" s="1" t="s">
        <v>99</v>
      </c>
      <c r="C30" s="61">
        <v>236.7</v>
      </c>
      <c r="D30" s="28">
        <v>236.3</v>
      </c>
      <c r="E30" s="28">
        <v>259.10000000000002</v>
      </c>
      <c r="F30" s="28">
        <v>296.7</v>
      </c>
      <c r="G30" s="61">
        <f>+C30+D30+E30+F30</f>
        <v>1028.8</v>
      </c>
      <c r="H30" s="61">
        <v>306.3</v>
      </c>
      <c r="I30" s="31">
        <v>324.10000000000002</v>
      </c>
      <c r="J30" s="31">
        <v>304.10000000000002</v>
      </c>
      <c r="K30" s="31">
        <v>379.8</v>
      </c>
      <c r="L30" s="61">
        <f>+H30+I30+J30+K30</f>
        <v>1314.3000000000002</v>
      </c>
      <c r="M30" s="61">
        <v>319</v>
      </c>
      <c r="N30" s="454"/>
    </row>
    <row r="31" spans="1:14" x14ac:dyDescent="0.25">
      <c r="A31" s="3"/>
      <c r="B31" s="1" t="str">
        <f>+B6</f>
        <v>Property &amp; Advisory Project Management</v>
      </c>
      <c r="C31" s="61">
        <v>77.5</v>
      </c>
      <c r="D31" s="28">
        <v>94.6</v>
      </c>
      <c r="E31" s="28">
        <v>99.7</v>
      </c>
      <c r="F31" s="28">
        <v>123.2</v>
      </c>
      <c r="G31" s="61">
        <f t="shared" ref="G31:G36" si="5">+C31+D31+E31+F31</f>
        <v>395</v>
      </c>
      <c r="H31" s="61">
        <v>96.7</v>
      </c>
      <c r="I31" s="31">
        <v>109.1</v>
      </c>
      <c r="J31" s="31">
        <v>103</v>
      </c>
      <c r="K31" s="31">
        <v>126.8</v>
      </c>
      <c r="L31" s="61">
        <f t="shared" ref="L31:L36" si="6">+H31+I31+J31+K31</f>
        <v>435.6</v>
      </c>
      <c r="M31" s="61">
        <v>96.3</v>
      </c>
      <c r="N31" s="454"/>
    </row>
    <row r="32" spans="1:14" x14ac:dyDescent="0.25">
      <c r="A32" s="3"/>
      <c r="B32" s="1" t="s">
        <v>11</v>
      </c>
      <c r="C32" s="61">
        <v>33.4</v>
      </c>
      <c r="D32" s="28">
        <v>37.700000000000003</v>
      </c>
      <c r="E32" s="28">
        <v>39.4</v>
      </c>
      <c r="F32" s="28">
        <v>56.9</v>
      </c>
      <c r="G32" s="61">
        <f t="shared" si="5"/>
        <v>167.4</v>
      </c>
      <c r="H32" s="61">
        <v>42.2</v>
      </c>
      <c r="I32" s="31">
        <v>44.5</v>
      </c>
      <c r="J32" s="31">
        <v>44.6</v>
      </c>
      <c r="K32" s="31">
        <v>61.5</v>
      </c>
      <c r="L32" s="61">
        <f t="shared" si="6"/>
        <v>192.8</v>
      </c>
      <c r="M32" s="61">
        <v>46.4</v>
      </c>
      <c r="N32" s="454"/>
    </row>
    <row r="33" spans="1:14" x14ac:dyDescent="0.25">
      <c r="A33" s="3"/>
      <c r="B33" s="1" t="s">
        <v>52</v>
      </c>
      <c r="C33" s="61">
        <v>2.9</v>
      </c>
      <c r="D33" s="28">
        <v>2.7</v>
      </c>
      <c r="E33" s="28">
        <v>2.2999999999999998</v>
      </c>
      <c r="F33" s="28">
        <v>3.1</v>
      </c>
      <c r="G33" s="61">
        <f t="shared" si="5"/>
        <v>11</v>
      </c>
      <c r="H33" s="61">
        <v>2.2999999999999998</v>
      </c>
      <c r="I33" s="31">
        <v>2.4</v>
      </c>
      <c r="J33" s="31">
        <v>2.4</v>
      </c>
      <c r="K33" s="31">
        <v>3.6</v>
      </c>
      <c r="L33" s="61">
        <f t="shared" si="6"/>
        <v>10.7</v>
      </c>
      <c r="M33" s="61">
        <v>3</v>
      </c>
      <c r="N33" s="454"/>
    </row>
    <row r="34" spans="1:14" x14ac:dyDescent="0.25">
      <c r="A34" s="3"/>
      <c r="B34" s="1" t="s">
        <v>100</v>
      </c>
      <c r="C34" s="61">
        <v>57.7</v>
      </c>
      <c r="D34" s="28">
        <v>81.7</v>
      </c>
      <c r="E34" s="28">
        <v>87.9</v>
      </c>
      <c r="F34" s="28">
        <v>142.80000000000001</v>
      </c>
      <c r="G34" s="61">
        <f t="shared" si="5"/>
        <v>370.1</v>
      </c>
      <c r="H34" s="61">
        <v>80</v>
      </c>
      <c r="I34" s="31">
        <v>102.4</v>
      </c>
      <c r="J34" s="31">
        <v>99.5</v>
      </c>
      <c r="K34" s="31">
        <v>159.6</v>
      </c>
      <c r="L34" s="61">
        <f t="shared" si="6"/>
        <v>441.5</v>
      </c>
      <c r="M34" s="61">
        <v>84.6</v>
      </c>
      <c r="N34" s="454"/>
    </row>
    <row r="35" spans="1:14" x14ac:dyDescent="0.25">
      <c r="A35" s="3"/>
      <c r="B35" s="1" t="str">
        <f>+B24</f>
        <v>Advisory Sales</v>
      </c>
      <c r="C35" s="61">
        <v>68.3</v>
      </c>
      <c r="D35" s="28">
        <v>96.3</v>
      </c>
      <c r="E35" s="28">
        <v>87.5</v>
      </c>
      <c r="F35" s="28">
        <v>157.30000000000001</v>
      </c>
      <c r="G35" s="61">
        <f t="shared" si="5"/>
        <v>409.4</v>
      </c>
      <c r="H35" s="61">
        <v>80.8</v>
      </c>
      <c r="I35" s="31">
        <v>100.7</v>
      </c>
      <c r="J35" s="31">
        <v>106.2</v>
      </c>
      <c r="K35" s="31">
        <v>154.19999999999999</v>
      </c>
      <c r="L35" s="61">
        <f t="shared" si="6"/>
        <v>441.9</v>
      </c>
      <c r="M35" s="61">
        <v>72.599999999999994</v>
      </c>
      <c r="N35" s="454"/>
    </row>
    <row r="36" spans="1:14" x14ac:dyDescent="0.25">
      <c r="A36" s="11"/>
      <c r="B36" s="10" t="str">
        <f>+B25</f>
        <v>Commercial Mortgage Origination</v>
      </c>
      <c r="C36" s="75">
        <v>1.9</v>
      </c>
      <c r="D36" s="74">
        <v>2.2000000000000002</v>
      </c>
      <c r="E36" s="74">
        <v>0.9</v>
      </c>
      <c r="F36" s="74">
        <v>1</v>
      </c>
      <c r="G36" s="76">
        <f t="shared" si="5"/>
        <v>6</v>
      </c>
      <c r="H36" s="75">
        <v>1.1000000000000001</v>
      </c>
      <c r="I36" s="30">
        <v>1.4</v>
      </c>
      <c r="J36" s="30">
        <v>0.7</v>
      </c>
      <c r="K36" s="30">
        <v>3.1</v>
      </c>
      <c r="L36" s="76">
        <f t="shared" si="6"/>
        <v>6.3000000000000007</v>
      </c>
      <c r="M36" s="75">
        <v>1.9</v>
      </c>
      <c r="N36" s="454"/>
    </row>
    <row r="37" spans="1:14" s="471" customFormat="1" x14ac:dyDescent="0.25">
      <c r="A37" s="8"/>
      <c r="B37" s="7" t="s">
        <v>12</v>
      </c>
      <c r="C37" s="66">
        <f t="shared" ref="C37:M37" si="7">SUM(C30:C36)</f>
        <v>478.39999999999992</v>
      </c>
      <c r="D37" s="29">
        <f t="shared" si="7"/>
        <v>551.5</v>
      </c>
      <c r="E37" s="29">
        <f t="shared" si="7"/>
        <v>576.79999999999995</v>
      </c>
      <c r="F37" s="29">
        <f t="shared" si="7"/>
        <v>781</v>
      </c>
      <c r="G37" s="66">
        <f t="shared" si="7"/>
        <v>2387.7000000000003</v>
      </c>
      <c r="H37" s="66">
        <f t="shared" si="7"/>
        <v>609.4</v>
      </c>
      <c r="I37" s="29">
        <f t="shared" si="7"/>
        <v>684.6</v>
      </c>
      <c r="J37" s="29">
        <f t="shared" si="7"/>
        <v>660.50000000000011</v>
      </c>
      <c r="K37" s="29">
        <f t="shared" si="7"/>
        <v>888.6</v>
      </c>
      <c r="L37" s="66">
        <f t="shared" si="7"/>
        <v>2843.1000000000004</v>
      </c>
      <c r="M37" s="66">
        <f t="shared" si="7"/>
        <v>623.79999999999995</v>
      </c>
      <c r="N37" s="470"/>
    </row>
    <row r="38" spans="1:14" s="471" customFormat="1" x14ac:dyDescent="0.25">
      <c r="A38" s="6"/>
      <c r="B38" s="5" t="s">
        <v>101</v>
      </c>
      <c r="C38" s="157">
        <v>30.3</v>
      </c>
      <c r="D38" s="156">
        <v>62.5</v>
      </c>
      <c r="E38" s="156">
        <v>66.5</v>
      </c>
      <c r="F38" s="156">
        <v>125.3</v>
      </c>
      <c r="G38" s="155">
        <f>+C38+D38+E38+F38</f>
        <v>284.60000000000002</v>
      </c>
      <c r="H38" s="157">
        <v>30.3</v>
      </c>
      <c r="I38" s="156">
        <v>58.3</v>
      </c>
      <c r="J38" s="156">
        <v>68.8</v>
      </c>
      <c r="K38" s="156">
        <v>142.6</v>
      </c>
      <c r="L38" s="155">
        <f>+H38+I38+J38+K38</f>
        <v>300</v>
      </c>
      <c r="M38" s="157">
        <v>36.799999999999997</v>
      </c>
      <c r="N38" s="477"/>
    </row>
    <row r="39" spans="1:14" x14ac:dyDescent="0.25">
      <c r="A39" s="11"/>
      <c r="B39" s="10" t="s">
        <v>102</v>
      </c>
      <c r="C39" s="136">
        <f t="shared" ref="C39:M39" si="8">C38/C37</f>
        <v>6.3336120401337806E-2</v>
      </c>
      <c r="D39" s="135">
        <f t="shared" si="8"/>
        <v>0.11332728921124206</v>
      </c>
      <c r="E39" s="135">
        <f t="shared" si="8"/>
        <v>0.11529126213592233</v>
      </c>
      <c r="F39" s="135">
        <f t="shared" si="8"/>
        <v>0.16043533930857873</v>
      </c>
      <c r="G39" s="39">
        <f t="shared" si="8"/>
        <v>0.11919420362692131</v>
      </c>
      <c r="H39" s="136">
        <f t="shared" si="8"/>
        <v>4.9721037085658025E-2</v>
      </c>
      <c r="I39" s="135">
        <f t="shared" si="8"/>
        <v>8.5159217061057543E-2</v>
      </c>
      <c r="J39" s="135">
        <f t="shared" si="8"/>
        <v>0.10416351249053744</v>
      </c>
      <c r="K39" s="135">
        <f t="shared" si="8"/>
        <v>0.1604771550753995</v>
      </c>
      <c r="L39" s="133">
        <f t="shared" si="8"/>
        <v>0.10551862403714254</v>
      </c>
      <c r="M39" s="136">
        <f t="shared" si="8"/>
        <v>5.8993267072779736E-2</v>
      </c>
      <c r="N39" s="473"/>
    </row>
    <row r="40" spans="1:14" x14ac:dyDescent="0.25">
      <c r="A40" s="3"/>
      <c r="B40" s="1" t="s">
        <v>13</v>
      </c>
      <c r="C40" s="63">
        <f>904.6-C37</f>
        <v>426.2000000000001</v>
      </c>
      <c r="D40" s="31">
        <f>1016-D37</f>
        <v>464.5</v>
      </c>
      <c r="E40" s="31">
        <f>1088.7-E37</f>
        <v>511.90000000000009</v>
      </c>
      <c r="F40" s="31">
        <f>1387.5-F37</f>
        <v>606.5</v>
      </c>
      <c r="G40" s="63">
        <f>+C40+D40+E40+F40</f>
        <v>2009.1000000000001</v>
      </c>
      <c r="H40" s="63">
        <f>1181.3-H37</f>
        <v>571.9</v>
      </c>
      <c r="I40" s="31">
        <f>1315.5-I37</f>
        <v>630.9</v>
      </c>
      <c r="J40" s="31">
        <f>1331.4-J37</f>
        <v>670.9</v>
      </c>
      <c r="K40" s="31">
        <f>1637.8-K37</f>
        <v>749.19999999999993</v>
      </c>
      <c r="L40" s="63">
        <f>+H40+I40+J40+K40</f>
        <v>2622.8999999999996</v>
      </c>
      <c r="M40" s="63">
        <f>1258.3-M37</f>
        <v>634.5</v>
      </c>
      <c r="N40" s="473"/>
    </row>
    <row r="41" spans="1:14" x14ac:dyDescent="0.25">
      <c r="A41" s="3"/>
      <c r="B41" s="1" t="s">
        <v>2</v>
      </c>
      <c r="C41" s="61">
        <f t="shared" ref="C41:M41" si="9">+C37+C40</f>
        <v>904.6</v>
      </c>
      <c r="D41" s="28">
        <f t="shared" si="9"/>
        <v>1016</v>
      </c>
      <c r="E41" s="28">
        <f t="shared" si="9"/>
        <v>1088.7</v>
      </c>
      <c r="F41" s="28">
        <f t="shared" si="9"/>
        <v>1387.5</v>
      </c>
      <c r="G41" s="61">
        <f t="shared" si="9"/>
        <v>4396.8</v>
      </c>
      <c r="H41" s="61">
        <f t="shared" si="9"/>
        <v>1181.3</v>
      </c>
      <c r="I41" s="28">
        <f t="shared" si="9"/>
        <v>1315.5</v>
      </c>
      <c r="J41" s="28">
        <f t="shared" si="9"/>
        <v>1331.4</v>
      </c>
      <c r="K41" s="28">
        <f t="shared" si="9"/>
        <v>1637.8</v>
      </c>
      <c r="L41" s="61">
        <f t="shared" si="9"/>
        <v>5466</v>
      </c>
      <c r="M41" s="61">
        <f t="shared" si="9"/>
        <v>1258.3</v>
      </c>
      <c r="N41" s="454"/>
    </row>
    <row r="42" spans="1:14" x14ac:dyDescent="0.25">
      <c r="A42" s="70"/>
      <c r="B42" s="71"/>
      <c r="C42" s="72"/>
      <c r="D42" s="73"/>
      <c r="E42" s="73"/>
      <c r="F42" s="73"/>
      <c r="G42" s="72"/>
      <c r="H42" s="72"/>
      <c r="I42" s="70"/>
      <c r="J42" s="70"/>
      <c r="K42" s="70"/>
      <c r="L42" s="130"/>
      <c r="M42" s="72"/>
    </row>
    <row r="43" spans="1:14" s="475" customFormat="1" x14ac:dyDescent="0.25">
      <c r="A43" s="32"/>
      <c r="B43" s="7" t="s">
        <v>49</v>
      </c>
      <c r="C43" s="68"/>
      <c r="D43" s="35"/>
      <c r="E43" s="35"/>
      <c r="F43" s="35"/>
      <c r="G43" s="65"/>
      <c r="H43" s="68"/>
      <c r="I43" s="126"/>
      <c r="J43" s="126"/>
      <c r="K43" s="126"/>
      <c r="L43" s="132"/>
      <c r="M43" s="68"/>
      <c r="N43" s="474"/>
    </row>
    <row r="44" spans="1:14" s="475" customFormat="1" x14ac:dyDescent="0.25">
      <c r="A44" s="32"/>
      <c r="B44" s="1" t="s">
        <v>99</v>
      </c>
      <c r="C44" s="62"/>
      <c r="D44" s="33"/>
      <c r="E44" s="33"/>
      <c r="F44" s="33"/>
      <c r="G44" s="62"/>
      <c r="H44" s="62">
        <f t="shared" ref="H44:M51" si="10">H30/C30-1</f>
        <v>0.29404309252218019</v>
      </c>
      <c r="I44" s="124">
        <f t="shared" si="10"/>
        <v>0.37156157426999581</v>
      </c>
      <c r="J44" s="124">
        <f t="shared" si="10"/>
        <v>0.1736781165573138</v>
      </c>
      <c r="K44" s="124">
        <f t="shared" si="10"/>
        <v>0.28008088978766432</v>
      </c>
      <c r="L44" s="129">
        <f t="shared" si="10"/>
        <v>0.27750777604976684</v>
      </c>
      <c r="M44" s="62">
        <f t="shared" si="10"/>
        <v>4.1462618348024671E-2</v>
      </c>
      <c r="N44" s="472"/>
    </row>
    <row r="45" spans="1:14" s="475" customFormat="1" x14ac:dyDescent="0.25">
      <c r="A45" s="32"/>
      <c r="B45" s="1" t="str">
        <f>+B31</f>
        <v>Property &amp; Advisory Project Management</v>
      </c>
      <c r="C45" s="62"/>
      <c r="D45" s="33"/>
      <c r="E45" s="33"/>
      <c r="F45" s="33"/>
      <c r="G45" s="62"/>
      <c r="H45" s="62">
        <f t="shared" si="10"/>
        <v>0.24774193548387102</v>
      </c>
      <c r="I45" s="124">
        <f t="shared" si="10"/>
        <v>0.15327695560253707</v>
      </c>
      <c r="J45" s="124">
        <f t="shared" si="10"/>
        <v>3.3099297893681046E-2</v>
      </c>
      <c r="K45" s="124">
        <f t="shared" si="10"/>
        <v>2.9220779220779258E-2</v>
      </c>
      <c r="L45" s="129">
        <f t="shared" si="10"/>
        <v>0.10278481012658225</v>
      </c>
      <c r="M45" s="62">
        <f t="shared" si="10"/>
        <v>-4.1365046535677408E-3</v>
      </c>
      <c r="N45" s="472"/>
    </row>
    <row r="46" spans="1:14" s="475" customFormat="1" x14ac:dyDescent="0.25">
      <c r="A46" s="32"/>
      <c r="B46" s="1" t="s">
        <v>11</v>
      </c>
      <c r="C46" s="62"/>
      <c r="D46" s="33"/>
      <c r="E46" s="33"/>
      <c r="F46" s="33"/>
      <c r="G46" s="62"/>
      <c r="H46" s="62">
        <f t="shared" si="10"/>
        <v>0.26347305389221565</v>
      </c>
      <c r="I46" s="124">
        <f t="shared" si="10"/>
        <v>0.18037135278514582</v>
      </c>
      <c r="J46" s="124">
        <f t="shared" si="10"/>
        <v>0.13197969543147225</v>
      </c>
      <c r="K46" s="124">
        <f t="shared" si="10"/>
        <v>8.0843585237258431E-2</v>
      </c>
      <c r="L46" s="129">
        <f t="shared" si="10"/>
        <v>0.15173237753882929</v>
      </c>
      <c r="M46" s="62">
        <f t="shared" si="10"/>
        <v>9.9526066350710707E-2</v>
      </c>
      <c r="N46" s="472"/>
    </row>
    <row r="47" spans="1:14" s="475" customFormat="1" x14ac:dyDescent="0.25">
      <c r="A47" s="32"/>
      <c r="B47" s="1" t="s">
        <v>52</v>
      </c>
      <c r="C47" s="62"/>
      <c r="D47" s="33"/>
      <c r="E47" s="33"/>
      <c r="F47" s="33"/>
      <c r="G47" s="62"/>
      <c r="H47" s="62">
        <f t="shared" si="10"/>
        <v>-0.20689655172413801</v>
      </c>
      <c r="I47" s="124">
        <f t="shared" si="10"/>
        <v>-0.11111111111111116</v>
      </c>
      <c r="J47" s="124">
        <f t="shared" si="10"/>
        <v>4.3478260869565188E-2</v>
      </c>
      <c r="K47" s="124">
        <f t="shared" si="10"/>
        <v>0.16129032258064524</v>
      </c>
      <c r="L47" s="129">
        <f t="shared" si="10"/>
        <v>-2.7272727272727337E-2</v>
      </c>
      <c r="M47" s="62">
        <f t="shared" si="10"/>
        <v>0.30434782608695654</v>
      </c>
      <c r="N47" s="472"/>
    </row>
    <row r="48" spans="1:14" s="475" customFormat="1" x14ac:dyDescent="0.25">
      <c r="A48" s="32"/>
      <c r="B48" s="1" t="s">
        <v>100</v>
      </c>
      <c r="C48" s="62"/>
      <c r="D48" s="33"/>
      <c r="E48" s="33"/>
      <c r="F48" s="33"/>
      <c r="G48" s="62"/>
      <c r="H48" s="62">
        <f t="shared" si="10"/>
        <v>0.386481802426343</v>
      </c>
      <c r="I48" s="124">
        <f t="shared" si="10"/>
        <v>0.25336597307221553</v>
      </c>
      <c r="J48" s="124">
        <f t="shared" si="10"/>
        <v>0.13196814562002257</v>
      </c>
      <c r="K48" s="124">
        <f t="shared" si="10"/>
        <v>0.11764705882352922</v>
      </c>
      <c r="L48" s="129">
        <f t="shared" si="10"/>
        <v>0.19292083220751133</v>
      </c>
      <c r="M48" s="62">
        <f t="shared" si="10"/>
        <v>5.7499999999999885E-2</v>
      </c>
      <c r="N48" s="472"/>
    </row>
    <row r="49" spans="1:14" s="475" customFormat="1" x14ac:dyDescent="0.25">
      <c r="A49" s="32"/>
      <c r="B49" s="1" t="str">
        <f>+B35</f>
        <v>Advisory Sales</v>
      </c>
      <c r="C49" s="62"/>
      <c r="D49" s="33"/>
      <c r="E49" s="33"/>
      <c r="F49" s="33"/>
      <c r="G49" s="62"/>
      <c r="H49" s="62">
        <f t="shared" si="10"/>
        <v>0.18301610541727675</v>
      </c>
      <c r="I49" s="124">
        <f t="shared" si="10"/>
        <v>4.5690550363447713E-2</v>
      </c>
      <c r="J49" s="124">
        <f t="shared" si="10"/>
        <v>0.21371428571428575</v>
      </c>
      <c r="K49" s="124">
        <f t="shared" si="10"/>
        <v>-1.9707565162110807E-2</v>
      </c>
      <c r="L49" s="129">
        <f t="shared" si="10"/>
        <v>7.9384465070835297E-2</v>
      </c>
      <c r="M49" s="62">
        <f t="shared" si="10"/>
        <v>-0.10148514851485158</v>
      </c>
      <c r="N49" s="472"/>
    </row>
    <row r="50" spans="1:14" s="475" customFormat="1" x14ac:dyDescent="0.25">
      <c r="A50" s="69"/>
      <c r="B50" s="10" t="str">
        <f>+B36</f>
        <v>Commercial Mortgage Origination</v>
      </c>
      <c r="C50" s="39"/>
      <c r="D50" s="40"/>
      <c r="E50" s="40"/>
      <c r="F50" s="40"/>
      <c r="G50" s="39"/>
      <c r="H50" s="39">
        <f t="shared" si="10"/>
        <v>-0.42105263157894735</v>
      </c>
      <c r="I50" s="127">
        <f t="shared" si="10"/>
        <v>-0.36363636363636376</v>
      </c>
      <c r="J50" s="127">
        <f t="shared" si="10"/>
        <v>-0.22222222222222232</v>
      </c>
      <c r="K50" s="127">
        <f t="shared" si="10"/>
        <v>2.1</v>
      </c>
      <c r="L50" s="133">
        <f t="shared" si="10"/>
        <v>5.0000000000000044E-2</v>
      </c>
      <c r="M50" s="39">
        <f t="shared" si="10"/>
        <v>0.72727272727272707</v>
      </c>
      <c r="N50" s="472"/>
    </row>
    <row r="51" spans="1:14" s="474" customFormat="1" x14ac:dyDescent="0.25">
      <c r="A51" s="126"/>
      <c r="B51" s="7" t="s">
        <v>12</v>
      </c>
      <c r="C51" s="147"/>
      <c r="D51" s="148"/>
      <c r="E51" s="148"/>
      <c r="F51" s="148"/>
      <c r="G51" s="147"/>
      <c r="H51" s="147">
        <f t="shared" si="10"/>
        <v>0.27382943143812732</v>
      </c>
      <c r="I51" s="149">
        <f t="shared" si="10"/>
        <v>0.24134179510426113</v>
      </c>
      <c r="J51" s="149">
        <f t="shared" si="10"/>
        <v>0.1451109570041611</v>
      </c>
      <c r="K51" s="149">
        <f t="shared" si="10"/>
        <v>0.13777208706786181</v>
      </c>
      <c r="L51" s="146">
        <f t="shared" si="10"/>
        <v>0.19072747832642301</v>
      </c>
      <c r="M51" s="147">
        <f t="shared" si="10"/>
        <v>2.3629799803084994E-2</v>
      </c>
      <c r="N51" s="478"/>
    </row>
    <row r="52" spans="1:14" s="475" customFormat="1" ht="4.5" customHeight="1" x14ac:dyDescent="0.25">
      <c r="A52" s="32"/>
      <c r="B52" s="34"/>
      <c r="C52" s="68"/>
      <c r="D52" s="35"/>
      <c r="E52" s="35"/>
      <c r="F52" s="35"/>
      <c r="G52" s="65"/>
      <c r="H52" s="68"/>
      <c r="I52" s="126"/>
      <c r="J52" s="126"/>
      <c r="K52" s="126"/>
      <c r="L52" s="132"/>
      <c r="M52" s="68"/>
      <c r="N52" s="474"/>
    </row>
    <row r="53" spans="1:14" s="475" customFormat="1" x14ac:dyDescent="0.25">
      <c r="A53" s="36"/>
      <c r="B53" s="37"/>
      <c r="C53" s="67"/>
      <c r="D53" s="38"/>
      <c r="E53" s="38"/>
      <c r="F53" s="38"/>
      <c r="G53" s="64"/>
      <c r="H53" s="67"/>
      <c r="I53" s="125"/>
      <c r="J53" s="125"/>
      <c r="K53" s="125"/>
      <c r="L53" s="131"/>
      <c r="M53" s="67"/>
      <c r="N53" s="474"/>
    </row>
    <row r="54" spans="1:14" x14ac:dyDescent="0.25">
      <c r="A54" s="3"/>
      <c r="B54" s="7" t="s">
        <v>14</v>
      </c>
      <c r="C54" s="60"/>
      <c r="D54" s="9"/>
      <c r="E54" s="9"/>
      <c r="F54" s="9"/>
      <c r="G54" s="60"/>
      <c r="H54" s="60"/>
      <c r="I54" s="128"/>
      <c r="J54" s="128"/>
      <c r="K54" s="128"/>
      <c r="L54" s="134"/>
      <c r="M54" s="60"/>
      <c r="N54" s="476"/>
    </row>
    <row r="55" spans="1:14" x14ac:dyDescent="0.25">
      <c r="A55" s="3"/>
      <c r="B55" s="1" t="s">
        <v>99</v>
      </c>
      <c r="C55" s="61">
        <v>50.8</v>
      </c>
      <c r="D55" s="28">
        <v>55.3</v>
      </c>
      <c r="E55" s="28">
        <v>58.5</v>
      </c>
      <c r="F55" s="28">
        <v>62.7</v>
      </c>
      <c r="G55" s="61">
        <f>+C55+D55+E55+F55</f>
        <v>227.3</v>
      </c>
      <c r="H55" s="61">
        <v>63.1</v>
      </c>
      <c r="I55" s="31">
        <v>67.599999999999994</v>
      </c>
      <c r="J55" s="31">
        <v>67.3</v>
      </c>
      <c r="K55" s="31">
        <v>70.8</v>
      </c>
      <c r="L55" s="61">
        <f>+H55+I55+J55+K55</f>
        <v>268.8</v>
      </c>
      <c r="M55" s="61">
        <v>70.5</v>
      </c>
      <c r="N55" s="454"/>
    </row>
    <row r="56" spans="1:14" x14ac:dyDescent="0.25">
      <c r="A56" s="3"/>
      <c r="B56" s="1" t="str">
        <f>+B45</f>
        <v>Property &amp; Advisory Project Management</v>
      </c>
      <c r="C56" s="61">
        <v>34.6</v>
      </c>
      <c r="D56" s="28">
        <v>36.1</v>
      </c>
      <c r="E56" s="28">
        <v>40.799999999999997</v>
      </c>
      <c r="F56" s="28">
        <v>44.2</v>
      </c>
      <c r="G56" s="61">
        <f t="shared" ref="G56:G61" si="11">+C56+D56+E56+F56</f>
        <v>155.69999999999999</v>
      </c>
      <c r="H56" s="61">
        <v>39.6</v>
      </c>
      <c r="I56" s="31">
        <v>43.1</v>
      </c>
      <c r="J56" s="31">
        <v>41.4</v>
      </c>
      <c r="K56" s="31">
        <v>47</v>
      </c>
      <c r="L56" s="61">
        <f t="shared" ref="L56:L61" si="12">+H56+I56+J56+K56</f>
        <v>171.1</v>
      </c>
      <c r="M56" s="61">
        <v>43.9</v>
      </c>
      <c r="N56" s="454"/>
    </row>
    <row r="57" spans="1:14" x14ac:dyDescent="0.25">
      <c r="A57" s="3"/>
      <c r="B57" s="1" t="s">
        <v>11</v>
      </c>
      <c r="C57" s="61">
        <v>31.8</v>
      </c>
      <c r="D57" s="28">
        <v>36.200000000000003</v>
      </c>
      <c r="E57" s="28">
        <v>34.5</v>
      </c>
      <c r="F57" s="28">
        <v>39.5</v>
      </c>
      <c r="G57" s="61">
        <f t="shared" si="11"/>
        <v>142</v>
      </c>
      <c r="H57" s="61">
        <v>32.5</v>
      </c>
      <c r="I57" s="31">
        <v>38</v>
      </c>
      <c r="J57" s="31">
        <v>34.299999999999997</v>
      </c>
      <c r="K57" s="31">
        <v>38</v>
      </c>
      <c r="L57" s="61">
        <f t="shared" si="12"/>
        <v>142.80000000000001</v>
      </c>
      <c r="M57" s="61">
        <v>29.9</v>
      </c>
      <c r="N57" s="454"/>
    </row>
    <row r="58" spans="1:14" x14ac:dyDescent="0.25">
      <c r="A58" s="3"/>
      <c r="B58" s="1" t="s">
        <v>52</v>
      </c>
      <c r="C58" s="61">
        <v>0</v>
      </c>
      <c r="D58" s="28">
        <v>0</v>
      </c>
      <c r="E58" s="28">
        <v>0</v>
      </c>
      <c r="F58" s="28">
        <v>0</v>
      </c>
      <c r="G58" s="61">
        <f t="shared" si="11"/>
        <v>0</v>
      </c>
      <c r="H58" s="61">
        <v>0</v>
      </c>
      <c r="I58" s="31">
        <v>0.2</v>
      </c>
      <c r="J58" s="31">
        <v>0.2</v>
      </c>
      <c r="K58" s="31">
        <v>0.2</v>
      </c>
      <c r="L58" s="61">
        <f t="shared" si="12"/>
        <v>0.60000000000000009</v>
      </c>
      <c r="M58" s="61">
        <v>0.2</v>
      </c>
      <c r="N58" s="454"/>
    </row>
    <row r="59" spans="1:14" x14ac:dyDescent="0.25">
      <c r="A59" s="3"/>
      <c r="B59" s="1" t="s">
        <v>100</v>
      </c>
      <c r="C59" s="61">
        <v>46.6</v>
      </c>
      <c r="D59" s="28">
        <v>64.8</v>
      </c>
      <c r="E59" s="28">
        <v>68.599999999999994</v>
      </c>
      <c r="F59" s="28">
        <v>102.2</v>
      </c>
      <c r="G59" s="61">
        <f t="shared" si="11"/>
        <v>282.2</v>
      </c>
      <c r="H59" s="61">
        <v>55.8</v>
      </c>
      <c r="I59" s="31">
        <v>80</v>
      </c>
      <c r="J59" s="31">
        <v>77.900000000000006</v>
      </c>
      <c r="K59" s="31">
        <v>120.8</v>
      </c>
      <c r="L59" s="61">
        <f t="shared" si="12"/>
        <v>334.5</v>
      </c>
      <c r="M59" s="61">
        <v>57.9</v>
      </c>
      <c r="N59" s="454"/>
    </row>
    <row r="60" spans="1:14" x14ac:dyDescent="0.25">
      <c r="A60" s="3"/>
      <c r="B60" s="1" t="str">
        <f>+B49</f>
        <v>Advisory Sales</v>
      </c>
      <c r="C60" s="61">
        <v>53.2</v>
      </c>
      <c r="D60" s="28">
        <v>79.8</v>
      </c>
      <c r="E60" s="28">
        <v>82.7</v>
      </c>
      <c r="F60" s="28">
        <v>98.3</v>
      </c>
      <c r="G60" s="61">
        <f t="shared" si="11"/>
        <v>314</v>
      </c>
      <c r="H60" s="61">
        <v>60.7</v>
      </c>
      <c r="I60" s="31">
        <v>71.3</v>
      </c>
      <c r="J60" s="31">
        <v>76</v>
      </c>
      <c r="K60" s="31">
        <v>103.6</v>
      </c>
      <c r="L60" s="61">
        <f t="shared" si="12"/>
        <v>311.60000000000002</v>
      </c>
      <c r="M60" s="61">
        <v>52.9</v>
      </c>
      <c r="N60" s="454"/>
    </row>
    <row r="61" spans="1:14" x14ac:dyDescent="0.25">
      <c r="A61" s="11"/>
      <c r="B61" s="10" t="str">
        <f>+B50</f>
        <v>Commercial Mortgage Origination</v>
      </c>
      <c r="C61" s="75">
        <v>1.4</v>
      </c>
      <c r="D61" s="74">
        <v>1.5</v>
      </c>
      <c r="E61" s="74">
        <v>0.9</v>
      </c>
      <c r="F61" s="74">
        <v>0.1</v>
      </c>
      <c r="G61" s="76">
        <f t="shared" si="11"/>
        <v>3.9</v>
      </c>
      <c r="H61" s="75">
        <v>0.1</v>
      </c>
      <c r="I61" s="30">
        <v>0.6</v>
      </c>
      <c r="J61" s="30">
        <v>1.1000000000000001</v>
      </c>
      <c r="K61" s="30">
        <v>1.5</v>
      </c>
      <c r="L61" s="76">
        <f t="shared" si="12"/>
        <v>3.3</v>
      </c>
      <c r="M61" s="75">
        <v>0.3</v>
      </c>
      <c r="N61" s="454"/>
    </row>
    <row r="62" spans="1:14" s="471" customFormat="1" x14ac:dyDescent="0.25">
      <c r="A62" s="153"/>
      <c r="B62" s="139" t="s">
        <v>12</v>
      </c>
      <c r="C62" s="66">
        <f t="shared" ref="C62:M62" si="13">SUM(C55:C61)</f>
        <v>218.4</v>
      </c>
      <c r="D62" s="29">
        <f t="shared" si="13"/>
        <v>273.7</v>
      </c>
      <c r="E62" s="29">
        <f t="shared" si="13"/>
        <v>286</v>
      </c>
      <c r="F62" s="29">
        <f t="shared" si="13"/>
        <v>347.00000000000006</v>
      </c>
      <c r="G62" s="66">
        <f t="shared" si="13"/>
        <v>1125.1000000000001</v>
      </c>
      <c r="H62" s="66">
        <f t="shared" si="13"/>
        <v>251.79999999999998</v>
      </c>
      <c r="I62" s="29">
        <f t="shared" si="13"/>
        <v>300.8</v>
      </c>
      <c r="J62" s="29">
        <f t="shared" si="13"/>
        <v>298.20000000000005</v>
      </c>
      <c r="K62" s="29">
        <f t="shared" si="13"/>
        <v>381.9</v>
      </c>
      <c r="L62" s="66">
        <f t="shared" si="13"/>
        <v>1232.7</v>
      </c>
      <c r="M62" s="66">
        <f t="shared" si="13"/>
        <v>255.60000000000002</v>
      </c>
      <c r="N62" s="477"/>
    </row>
    <row r="63" spans="1:14" s="471" customFormat="1" x14ac:dyDescent="0.25">
      <c r="A63" s="6"/>
      <c r="B63" s="5" t="s">
        <v>101</v>
      </c>
      <c r="C63" s="155">
        <v>18.399999999999999</v>
      </c>
      <c r="D63" s="154">
        <v>38.200000000000003</v>
      </c>
      <c r="E63" s="154">
        <v>38</v>
      </c>
      <c r="F63" s="154">
        <v>62.1</v>
      </c>
      <c r="G63" s="155">
        <f>+C63+D63+E63+F63</f>
        <v>156.69999999999999</v>
      </c>
      <c r="H63" s="155">
        <v>27.8</v>
      </c>
      <c r="I63" s="156">
        <v>37</v>
      </c>
      <c r="J63" s="156">
        <v>34.5</v>
      </c>
      <c r="K63" s="156">
        <v>71</v>
      </c>
      <c r="L63" s="155">
        <f>+H63+I63+J63+K63</f>
        <v>170.3</v>
      </c>
      <c r="M63" s="155">
        <v>26.8</v>
      </c>
      <c r="N63" s="477"/>
    </row>
    <row r="64" spans="1:14" x14ac:dyDescent="0.25">
      <c r="A64" s="11"/>
      <c r="B64" s="10" t="s">
        <v>102</v>
      </c>
      <c r="C64" s="138">
        <f t="shared" ref="C64:M64" si="14">C63/C62</f>
        <v>8.4249084249084241E-2</v>
      </c>
      <c r="D64" s="137">
        <f t="shared" si="14"/>
        <v>0.13956887102667156</v>
      </c>
      <c r="E64" s="137">
        <f t="shared" si="14"/>
        <v>0.13286713286713286</v>
      </c>
      <c r="F64" s="137">
        <f t="shared" si="14"/>
        <v>0.17896253602305473</v>
      </c>
      <c r="G64" s="39">
        <f t="shared" si="14"/>
        <v>0.13927650875477732</v>
      </c>
      <c r="H64" s="138">
        <f t="shared" si="14"/>
        <v>0.11040508339952344</v>
      </c>
      <c r="I64" s="135">
        <f t="shared" si="14"/>
        <v>0.12300531914893617</v>
      </c>
      <c r="J64" s="135">
        <f t="shared" si="14"/>
        <v>0.11569416498993962</v>
      </c>
      <c r="K64" s="135">
        <f t="shared" si="14"/>
        <v>0.18591254255040587</v>
      </c>
      <c r="L64" s="133">
        <f t="shared" si="14"/>
        <v>0.13815202401233065</v>
      </c>
      <c r="M64" s="138">
        <f t="shared" si="14"/>
        <v>0.10485133020344287</v>
      </c>
      <c r="N64" s="454"/>
    </row>
    <row r="65" spans="1:14" x14ac:dyDescent="0.25">
      <c r="A65" s="3"/>
      <c r="B65" s="1" t="s">
        <v>13</v>
      </c>
      <c r="C65" s="61">
        <f>403.3-C62</f>
        <v>184.9</v>
      </c>
      <c r="D65" s="28">
        <f>486.9-D62</f>
        <v>213.2</v>
      </c>
      <c r="E65" s="28">
        <f>502-E62</f>
        <v>216</v>
      </c>
      <c r="F65" s="28">
        <f>591.2-F62</f>
        <v>244.2</v>
      </c>
      <c r="G65" s="63">
        <f>+C65+D65+E65+F65</f>
        <v>858.3</v>
      </c>
      <c r="H65" s="61">
        <f>495.5-H62</f>
        <v>243.70000000000002</v>
      </c>
      <c r="I65" s="31">
        <f>538.2-I62</f>
        <v>237.40000000000003</v>
      </c>
      <c r="J65" s="31">
        <f>530-J62</f>
        <v>231.79999999999995</v>
      </c>
      <c r="K65" s="31">
        <f>643.9-K62</f>
        <v>262</v>
      </c>
      <c r="L65" s="63">
        <f>+H65+I65+J65+K65</f>
        <v>974.9</v>
      </c>
      <c r="M65" s="61">
        <f>508.8-M62</f>
        <v>253.2</v>
      </c>
      <c r="N65" s="454"/>
    </row>
    <row r="66" spans="1:14" x14ac:dyDescent="0.25">
      <c r="A66" s="3"/>
      <c r="B66" s="1" t="s">
        <v>2</v>
      </c>
      <c r="C66" s="61">
        <f t="shared" ref="C66:M66" si="15">+C62+C65</f>
        <v>403.3</v>
      </c>
      <c r="D66" s="28">
        <f t="shared" si="15"/>
        <v>486.9</v>
      </c>
      <c r="E66" s="28">
        <f t="shared" si="15"/>
        <v>502</v>
      </c>
      <c r="F66" s="28">
        <f t="shared" si="15"/>
        <v>591.20000000000005</v>
      </c>
      <c r="G66" s="61">
        <f t="shared" si="15"/>
        <v>1983.4</v>
      </c>
      <c r="H66" s="61">
        <f t="shared" si="15"/>
        <v>495.5</v>
      </c>
      <c r="I66" s="28">
        <f t="shared" si="15"/>
        <v>538.20000000000005</v>
      </c>
      <c r="J66" s="28">
        <f t="shared" si="15"/>
        <v>530</v>
      </c>
      <c r="K66" s="28">
        <f t="shared" si="15"/>
        <v>643.9</v>
      </c>
      <c r="L66" s="61">
        <f t="shared" si="15"/>
        <v>2207.6</v>
      </c>
      <c r="M66" s="61">
        <f t="shared" si="15"/>
        <v>508.8</v>
      </c>
      <c r="N66" s="454"/>
    </row>
    <row r="67" spans="1:14" x14ac:dyDescent="0.25">
      <c r="A67" s="70"/>
      <c r="B67" s="71"/>
      <c r="C67" s="72"/>
      <c r="D67" s="73"/>
      <c r="E67" s="73"/>
      <c r="F67" s="73"/>
      <c r="G67" s="72"/>
      <c r="H67" s="72"/>
      <c r="I67" s="70"/>
      <c r="J67" s="70"/>
      <c r="K67" s="70"/>
      <c r="L67" s="130"/>
      <c r="M67" s="72"/>
    </row>
    <row r="68" spans="1:14" s="475" customFormat="1" x14ac:dyDescent="0.25">
      <c r="A68" s="32"/>
      <c r="B68" s="7" t="s">
        <v>245</v>
      </c>
      <c r="C68" s="68"/>
      <c r="D68" s="35"/>
      <c r="E68" s="35"/>
      <c r="F68" s="35"/>
      <c r="G68" s="65"/>
      <c r="H68" s="68"/>
      <c r="I68" s="126"/>
      <c r="J68" s="126"/>
      <c r="K68" s="126"/>
      <c r="L68" s="132"/>
      <c r="M68" s="68"/>
      <c r="N68" s="474"/>
    </row>
    <row r="69" spans="1:14" s="475" customFormat="1" x14ac:dyDescent="0.25">
      <c r="A69" s="32"/>
      <c r="B69" s="1" t="s">
        <v>99</v>
      </c>
      <c r="C69" s="62"/>
      <c r="D69" s="33"/>
      <c r="E69" s="33"/>
      <c r="F69" s="33"/>
      <c r="G69" s="62"/>
      <c r="H69" s="62">
        <f t="shared" ref="H69:M71" si="16">H55/C55-1</f>
        <v>0.24212598425196852</v>
      </c>
      <c r="I69" s="124">
        <f t="shared" si="16"/>
        <v>0.22242314647377937</v>
      </c>
      <c r="J69" s="124">
        <f t="shared" si="16"/>
        <v>0.15042735042735034</v>
      </c>
      <c r="K69" s="124">
        <f t="shared" si="16"/>
        <v>0.12918660287081329</v>
      </c>
      <c r="L69" s="129">
        <f t="shared" si="16"/>
        <v>0.18257809062912456</v>
      </c>
      <c r="M69" s="62">
        <f t="shared" si="16"/>
        <v>0.11727416798732171</v>
      </c>
      <c r="N69" s="472"/>
    </row>
    <row r="70" spans="1:14" s="475" customFormat="1" x14ac:dyDescent="0.25">
      <c r="A70" s="32"/>
      <c r="B70" s="1" t="str">
        <f>+B56</f>
        <v>Property &amp; Advisory Project Management</v>
      </c>
      <c r="C70" s="62"/>
      <c r="D70" s="33"/>
      <c r="E70" s="33"/>
      <c r="F70" s="33"/>
      <c r="G70" s="62"/>
      <c r="H70" s="62">
        <f t="shared" si="16"/>
        <v>0.1445086705202312</v>
      </c>
      <c r="I70" s="124">
        <f t="shared" si="16"/>
        <v>0.19390581717451516</v>
      </c>
      <c r="J70" s="124">
        <f t="shared" si="16"/>
        <v>1.4705882352941124E-2</v>
      </c>
      <c r="K70" s="124">
        <f t="shared" si="16"/>
        <v>6.3348416289592757E-2</v>
      </c>
      <c r="L70" s="129">
        <f t="shared" si="16"/>
        <v>9.8908156711625006E-2</v>
      </c>
      <c r="M70" s="62">
        <f t="shared" si="16"/>
        <v>0.10858585858585856</v>
      </c>
      <c r="N70" s="472"/>
    </row>
    <row r="71" spans="1:14" s="475" customFormat="1" x14ac:dyDescent="0.25">
      <c r="A71" s="32"/>
      <c r="B71" s="1" t="s">
        <v>11</v>
      </c>
      <c r="C71" s="62"/>
      <c r="D71" s="33"/>
      <c r="E71" s="33"/>
      <c r="F71" s="33"/>
      <c r="G71" s="62"/>
      <c r="H71" s="62">
        <f t="shared" si="16"/>
        <v>2.2012578616352085E-2</v>
      </c>
      <c r="I71" s="124">
        <f t="shared" si="16"/>
        <v>4.9723756906077332E-2</v>
      </c>
      <c r="J71" s="124">
        <f t="shared" si="16"/>
        <v>-5.7971014492754769E-3</v>
      </c>
      <c r="K71" s="124">
        <f t="shared" si="16"/>
        <v>-3.7974683544303778E-2</v>
      </c>
      <c r="L71" s="129">
        <f t="shared" si="16"/>
        <v>5.6338028169014009E-3</v>
      </c>
      <c r="M71" s="62">
        <f t="shared" si="16"/>
        <v>-8.0000000000000071E-2</v>
      </c>
      <c r="N71" s="472"/>
    </row>
    <row r="72" spans="1:14" s="475" customFormat="1" ht="16.5" customHeight="1" x14ac:dyDescent="0.25">
      <c r="A72" s="32"/>
      <c r="B72" s="1" t="str">
        <f>+B58</f>
        <v>Loan Servicing</v>
      </c>
      <c r="C72" s="62"/>
      <c r="D72" s="33"/>
      <c r="E72" s="33"/>
      <c r="F72" s="33"/>
      <c r="G72" s="62"/>
      <c r="H72" s="62" t="s">
        <v>229</v>
      </c>
      <c r="I72" s="124">
        <v>1</v>
      </c>
      <c r="J72" s="124">
        <v>1</v>
      </c>
      <c r="K72" s="124">
        <v>1</v>
      </c>
      <c r="L72" s="129">
        <v>1</v>
      </c>
      <c r="M72" s="62">
        <v>1</v>
      </c>
      <c r="N72" s="472"/>
    </row>
    <row r="73" spans="1:14" s="475" customFormat="1" x14ac:dyDescent="0.25">
      <c r="A73" s="32"/>
      <c r="B73" s="1" t="s">
        <v>100</v>
      </c>
      <c r="C73" s="62"/>
      <c r="D73" s="33"/>
      <c r="E73" s="33"/>
      <c r="F73" s="33"/>
      <c r="G73" s="62"/>
      <c r="H73" s="62">
        <f t="shared" ref="H73:M76" si="17">H59/C59-1</f>
        <v>0.19742489270386265</v>
      </c>
      <c r="I73" s="124">
        <f t="shared" si="17"/>
        <v>0.23456790123456805</v>
      </c>
      <c r="J73" s="124">
        <f t="shared" si="17"/>
        <v>0.13556851311953366</v>
      </c>
      <c r="K73" s="124">
        <f t="shared" si="17"/>
        <v>0.18199608610567508</v>
      </c>
      <c r="L73" s="129">
        <f t="shared" si="17"/>
        <v>0.18532955350815028</v>
      </c>
      <c r="M73" s="62">
        <f t="shared" si="17"/>
        <v>3.7634408602150504E-2</v>
      </c>
      <c r="N73" s="472"/>
    </row>
    <row r="74" spans="1:14" s="475" customFormat="1" x14ac:dyDescent="0.25">
      <c r="A74" s="32"/>
      <c r="B74" s="1" t="str">
        <f>+B60</f>
        <v>Advisory Sales</v>
      </c>
      <c r="C74" s="62"/>
      <c r="D74" s="33"/>
      <c r="E74" s="33"/>
      <c r="F74" s="33"/>
      <c r="G74" s="62"/>
      <c r="H74" s="62">
        <f t="shared" si="17"/>
        <v>0.14097744360902253</v>
      </c>
      <c r="I74" s="124">
        <f t="shared" si="17"/>
        <v>-0.10651629072681701</v>
      </c>
      <c r="J74" s="124">
        <f t="shared" si="17"/>
        <v>-8.1015719467956493E-2</v>
      </c>
      <c r="K74" s="124">
        <f t="shared" si="17"/>
        <v>5.3916581892166748E-2</v>
      </c>
      <c r="L74" s="129">
        <f t="shared" si="17"/>
        <v>-7.6433121019107153E-3</v>
      </c>
      <c r="M74" s="62">
        <f t="shared" si="17"/>
        <v>-0.12850082372322902</v>
      </c>
      <c r="N74" s="472"/>
    </row>
    <row r="75" spans="1:14" s="475" customFormat="1" x14ac:dyDescent="0.25">
      <c r="A75" s="69"/>
      <c r="B75" s="10" t="str">
        <f>+B61</f>
        <v>Commercial Mortgage Origination</v>
      </c>
      <c r="C75" s="39"/>
      <c r="D75" s="40"/>
      <c r="E75" s="40"/>
      <c r="F75" s="40"/>
      <c r="G75" s="39"/>
      <c r="H75" s="39">
        <f t="shared" si="17"/>
        <v>-0.9285714285714286</v>
      </c>
      <c r="I75" s="127">
        <f t="shared" si="17"/>
        <v>-0.60000000000000009</v>
      </c>
      <c r="J75" s="127">
        <f t="shared" si="17"/>
        <v>0.22222222222222232</v>
      </c>
      <c r="K75" s="127">
        <f t="shared" si="17"/>
        <v>14</v>
      </c>
      <c r="L75" s="133">
        <f t="shared" si="17"/>
        <v>-0.15384615384615385</v>
      </c>
      <c r="M75" s="39">
        <f t="shared" si="17"/>
        <v>1.9999999999999996</v>
      </c>
      <c r="N75" s="472"/>
    </row>
    <row r="76" spans="1:14" s="474" customFormat="1" x14ac:dyDescent="0.25">
      <c r="A76" s="126"/>
      <c r="B76" s="7" t="s">
        <v>12</v>
      </c>
      <c r="C76" s="147"/>
      <c r="D76" s="148"/>
      <c r="E76" s="148"/>
      <c r="F76" s="148"/>
      <c r="G76" s="147"/>
      <c r="H76" s="147">
        <f t="shared" si="17"/>
        <v>0.15293040293040283</v>
      </c>
      <c r="I76" s="149">
        <f t="shared" si="17"/>
        <v>9.9013518450858706E-2</v>
      </c>
      <c r="J76" s="149">
        <f t="shared" si="17"/>
        <v>4.2657342657342889E-2</v>
      </c>
      <c r="K76" s="149">
        <f t="shared" si="17"/>
        <v>0.10057636887608035</v>
      </c>
      <c r="L76" s="146">
        <f t="shared" si="17"/>
        <v>9.5635943471691354E-2</v>
      </c>
      <c r="M76" s="147">
        <f t="shared" si="17"/>
        <v>1.509134233518683E-2</v>
      </c>
      <c r="N76" s="478"/>
    </row>
    <row r="77" spans="1:14" s="475" customFormat="1" ht="4.5" customHeight="1" x14ac:dyDescent="0.25">
      <c r="A77" s="32"/>
      <c r="B77" s="34"/>
      <c r="C77" s="68"/>
      <c r="D77" s="35"/>
      <c r="E77" s="35"/>
      <c r="F77" s="35"/>
      <c r="G77" s="65"/>
      <c r="H77" s="68"/>
      <c r="I77" s="126"/>
      <c r="J77" s="126"/>
      <c r="K77" s="126"/>
      <c r="L77" s="132"/>
      <c r="M77" s="68"/>
      <c r="N77" s="474"/>
    </row>
    <row r="78" spans="1:14" s="475" customFormat="1" x14ac:dyDescent="0.25">
      <c r="A78" s="36"/>
      <c r="B78" s="37"/>
      <c r="C78" s="67"/>
      <c r="D78" s="38"/>
      <c r="E78" s="38"/>
      <c r="F78" s="38"/>
      <c r="G78" s="64"/>
      <c r="H78" s="67"/>
      <c r="I78" s="125"/>
      <c r="J78" s="125"/>
      <c r="K78" s="125"/>
      <c r="L78" s="131"/>
      <c r="M78" s="67"/>
      <c r="N78" s="474"/>
    </row>
    <row r="79" spans="1:14" s="475" customFormat="1" x14ac:dyDescent="0.25">
      <c r="A79" s="32"/>
      <c r="B79" s="7" t="s">
        <v>50</v>
      </c>
      <c r="C79" s="68"/>
      <c r="D79" s="35"/>
      <c r="E79" s="35"/>
      <c r="F79" s="35"/>
      <c r="G79" s="65"/>
      <c r="H79" s="68"/>
      <c r="I79" s="126"/>
      <c r="J79" s="126"/>
      <c r="K79" s="126"/>
      <c r="L79" s="132"/>
      <c r="M79" s="68"/>
      <c r="N79" s="474"/>
    </row>
    <row r="80" spans="1:14" s="475" customFormat="1" x14ac:dyDescent="0.25">
      <c r="A80" s="32"/>
      <c r="B80" s="1" t="s">
        <v>99</v>
      </c>
      <c r="C80" s="62"/>
      <c r="D80" s="33"/>
      <c r="E80" s="33"/>
      <c r="F80" s="33"/>
      <c r="G80" s="62"/>
      <c r="H80" s="62">
        <v>0.13900000000000001</v>
      </c>
      <c r="I80" s="124">
        <v>7.5999999999999998E-2</v>
      </c>
      <c r="J80" s="124">
        <v>7.6999999999999999E-2</v>
      </c>
      <c r="K80" s="124">
        <v>8.2000000000000003E-2</v>
      </c>
      <c r="L80" s="129">
        <v>9.1999999999999998E-2</v>
      </c>
      <c r="M80" s="62">
        <v>0.114</v>
      </c>
      <c r="N80" s="472"/>
    </row>
    <row r="81" spans="1:14" s="475" customFormat="1" x14ac:dyDescent="0.25">
      <c r="A81" s="32"/>
      <c r="B81" s="1" t="str">
        <f>+B70</f>
        <v>Property &amp; Advisory Project Management</v>
      </c>
      <c r="C81" s="62"/>
      <c r="D81" s="33"/>
      <c r="E81" s="33"/>
      <c r="F81" s="33"/>
      <c r="G81" s="62"/>
      <c r="H81" s="62">
        <v>0.32900000000000001</v>
      </c>
      <c r="I81" s="124">
        <v>0.30499999999999999</v>
      </c>
      <c r="J81" s="124">
        <v>0.32800000000000001</v>
      </c>
      <c r="K81" s="124">
        <v>0.16700000000000001</v>
      </c>
      <c r="L81" s="129">
        <v>0.27500000000000002</v>
      </c>
      <c r="M81" s="62">
        <v>9.9000000000000005E-2</v>
      </c>
      <c r="N81" s="472"/>
    </row>
    <row r="82" spans="1:14" s="475" customFormat="1" x14ac:dyDescent="0.25">
      <c r="A82" s="32"/>
      <c r="B82" s="1" t="s">
        <v>11</v>
      </c>
      <c r="C82" s="62"/>
      <c r="D82" s="33"/>
      <c r="E82" s="33"/>
      <c r="F82" s="33"/>
      <c r="G82" s="62"/>
      <c r="H82" s="62">
        <v>2.9000000000000001E-2</v>
      </c>
      <c r="I82" s="124">
        <v>4.4999999999999998E-2</v>
      </c>
      <c r="J82" s="124">
        <v>9.9000000000000005E-2</v>
      </c>
      <c r="K82" s="124">
        <v>9.6000000000000002E-2</v>
      </c>
      <c r="L82" s="129">
        <v>6.9000000000000006E-2</v>
      </c>
      <c r="M82" s="62">
        <v>4.8000000000000001E-2</v>
      </c>
      <c r="N82" s="472"/>
    </row>
    <row r="83" spans="1:14" s="475" customFormat="1" x14ac:dyDescent="0.25">
      <c r="A83" s="32"/>
      <c r="B83" s="1" t="s">
        <v>52</v>
      </c>
      <c r="C83" s="62"/>
      <c r="D83" s="33"/>
      <c r="E83" s="33"/>
      <c r="F83" s="33"/>
      <c r="G83" s="62"/>
      <c r="H83" s="62">
        <v>0.17899999999999999</v>
      </c>
      <c r="I83" s="124">
        <v>0.112</v>
      </c>
      <c r="J83" s="124">
        <v>0.218</v>
      </c>
      <c r="K83" s="124">
        <v>0.192</v>
      </c>
      <c r="L83" s="129">
        <v>0.17499999999999999</v>
      </c>
      <c r="M83" s="62">
        <v>8.4000000000000005E-2</v>
      </c>
      <c r="N83" s="472"/>
    </row>
    <row r="84" spans="1:14" s="475" customFormat="1" x14ac:dyDescent="0.25">
      <c r="A84" s="32"/>
      <c r="B84" s="1" t="s">
        <v>100</v>
      </c>
      <c r="C84" s="62"/>
      <c r="D84" s="33"/>
      <c r="E84" s="33"/>
      <c r="F84" s="33"/>
      <c r="G84" s="62"/>
      <c r="H84" s="62">
        <v>1.4E-2</v>
      </c>
      <c r="I84" s="124">
        <v>0.17899999999999999</v>
      </c>
      <c r="J84" s="124">
        <v>0.188</v>
      </c>
      <c r="K84" s="124">
        <v>0.30099999999999999</v>
      </c>
      <c r="L84" s="129">
        <v>0.19</v>
      </c>
      <c r="M84" s="62">
        <v>0.26300000000000001</v>
      </c>
      <c r="N84" s="472"/>
    </row>
    <row r="85" spans="1:14" s="475" customFormat="1" x14ac:dyDescent="0.25">
      <c r="A85" s="32"/>
      <c r="B85" s="1" t="str">
        <f>+B74</f>
        <v>Advisory Sales</v>
      </c>
      <c r="C85" s="62"/>
      <c r="D85" s="33"/>
      <c r="E85" s="33"/>
      <c r="F85" s="33"/>
      <c r="G85" s="62"/>
      <c r="H85" s="62">
        <v>0.11799999999999999</v>
      </c>
      <c r="I85" s="124">
        <v>4.5999999999999999E-2</v>
      </c>
      <c r="J85" s="124">
        <v>3.6999999999999998E-2</v>
      </c>
      <c r="K85" s="124">
        <v>9.6000000000000002E-2</v>
      </c>
      <c r="L85" s="129">
        <v>7.3999999999999996E-2</v>
      </c>
      <c r="M85" s="62">
        <v>-3.9E-2</v>
      </c>
      <c r="N85" s="472"/>
    </row>
    <row r="86" spans="1:14" s="475" customFormat="1" x14ac:dyDescent="0.25">
      <c r="A86" s="69"/>
      <c r="B86" s="10" t="str">
        <f>+B75</f>
        <v>Commercial Mortgage Origination</v>
      </c>
      <c r="C86" s="39"/>
      <c r="D86" s="40"/>
      <c r="E86" s="40"/>
      <c r="F86" s="40"/>
      <c r="G86" s="39"/>
      <c r="H86" s="39">
        <v>0.28000000000000003</v>
      </c>
      <c r="I86" s="127">
        <v>0.16</v>
      </c>
      <c r="J86" s="127">
        <v>0.21099999999999999</v>
      </c>
      <c r="K86" s="127">
        <v>0.14099999999999999</v>
      </c>
      <c r="L86" s="133">
        <v>0.189</v>
      </c>
      <c r="M86" s="39">
        <v>0.11700000000000001</v>
      </c>
      <c r="N86" s="472"/>
    </row>
    <row r="87" spans="1:14" s="474" customFormat="1" x14ac:dyDescent="0.25">
      <c r="A87" s="126"/>
      <c r="B87" s="7" t="s">
        <v>12</v>
      </c>
      <c r="C87" s="147"/>
      <c r="D87" s="148"/>
      <c r="E87" s="148"/>
      <c r="F87" s="148"/>
      <c r="G87" s="147"/>
      <c r="H87" s="147">
        <v>0.11600000000000001</v>
      </c>
      <c r="I87" s="149">
        <v>0.13</v>
      </c>
      <c r="J87" s="149">
        <v>0.14299999999999999</v>
      </c>
      <c r="K87" s="149">
        <v>0.185</v>
      </c>
      <c r="L87" s="146">
        <v>0.14699999999999999</v>
      </c>
      <c r="M87" s="147">
        <v>0.121</v>
      </c>
      <c r="N87" s="478"/>
    </row>
    <row r="88" spans="1:14" s="475" customFormat="1" ht="4.5" customHeight="1" x14ac:dyDescent="0.25">
      <c r="A88" s="32"/>
      <c r="B88" s="34"/>
      <c r="C88" s="68"/>
      <c r="D88" s="35"/>
      <c r="E88" s="35"/>
      <c r="F88" s="35"/>
      <c r="G88" s="65"/>
      <c r="H88" s="68"/>
      <c r="I88" s="126"/>
      <c r="J88" s="126"/>
      <c r="K88" s="126"/>
      <c r="L88" s="132"/>
      <c r="M88" s="68"/>
      <c r="N88" s="474"/>
    </row>
    <row r="89" spans="1:14" s="475" customFormat="1" x14ac:dyDescent="0.25">
      <c r="A89" s="36"/>
      <c r="B89" s="37"/>
      <c r="C89" s="67"/>
      <c r="D89" s="38"/>
      <c r="E89" s="38"/>
      <c r="F89" s="38"/>
      <c r="G89" s="64"/>
      <c r="H89" s="67"/>
      <c r="I89" s="125"/>
      <c r="J89" s="125"/>
      <c r="K89" s="125"/>
      <c r="L89" s="131"/>
      <c r="M89" s="67"/>
      <c r="N89" s="474"/>
    </row>
    <row r="90" spans="1:14" s="475" customFormat="1" x14ac:dyDescent="0.25">
      <c r="A90" s="32"/>
      <c r="B90" s="7" t="s">
        <v>51</v>
      </c>
      <c r="C90" s="68"/>
      <c r="D90" s="35"/>
      <c r="E90" s="35"/>
      <c r="F90" s="35"/>
      <c r="G90" s="65"/>
      <c r="H90" s="68"/>
      <c r="I90" s="126"/>
      <c r="J90" s="126"/>
      <c r="K90" s="126"/>
      <c r="L90" s="132"/>
      <c r="M90" s="68"/>
      <c r="N90" s="474"/>
    </row>
    <row r="91" spans="1:14" s="475" customFormat="1" x14ac:dyDescent="0.25">
      <c r="A91" s="32"/>
      <c r="B91" s="1" t="s">
        <v>99</v>
      </c>
      <c r="C91" s="140"/>
      <c r="D91" s="141"/>
      <c r="E91" s="141"/>
      <c r="F91" s="141"/>
      <c r="G91" s="140"/>
      <c r="H91" s="140">
        <v>0.157</v>
      </c>
      <c r="I91" s="142">
        <v>0.27700000000000002</v>
      </c>
      <c r="J91" s="142">
        <v>0.182</v>
      </c>
      <c r="K91" s="142">
        <v>0.33200000000000002</v>
      </c>
      <c r="L91" s="129">
        <v>0.24099999999999999</v>
      </c>
      <c r="M91" s="140">
        <v>0.11</v>
      </c>
      <c r="N91" s="472"/>
    </row>
    <row r="92" spans="1:14" s="475" customFormat="1" x14ac:dyDescent="0.25">
      <c r="A92" s="32"/>
      <c r="B92" s="1" t="str">
        <f>+B81</f>
        <v>Property &amp; Advisory Project Management</v>
      </c>
      <c r="C92" s="140"/>
      <c r="D92" s="141"/>
      <c r="E92" s="141"/>
      <c r="F92" s="141"/>
      <c r="G92" s="140"/>
      <c r="H92" s="140">
        <v>0.10299999999999999</v>
      </c>
      <c r="I92" s="142">
        <v>6.6000000000000003E-2</v>
      </c>
      <c r="J92" s="142">
        <v>0.04</v>
      </c>
      <c r="K92" s="142">
        <v>7.0999999999999994E-2</v>
      </c>
      <c r="L92" s="129">
        <v>6.8000000000000005E-2</v>
      </c>
      <c r="M92" s="140">
        <v>0.06</v>
      </c>
      <c r="N92" s="472"/>
    </row>
    <row r="93" spans="1:14" s="475" customFormat="1" x14ac:dyDescent="0.25">
      <c r="A93" s="32"/>
      <c r="B93" s="1" t="s">
        <v>11</v>
      </c>
      <c r="C93" s="140"/>
      <c r="D93" s="141"/>
      <c r="E93" s="141"/>
      <c r="F93" s="141"/>
      <c r="G93" s="140"/>
      <c r="H93" s="140">
        <v>0.121</v>
      </c>
      <c r="I93" s="142">
        <v>9.7000000000000003E-2</v>
      </c>
      <c r="J93" s="142">
        <v>0.13600000000000001</v>
      </c>
      <c r="K93" s="142">
        <v>0.124</v>
      </c>
      <c r="L93" s="129">
        <v>0.12</v>
      </c>
      <c r="M93" s="140">
        <v>0.16900000000000001</v>
      </c>
      <c r="N93" s="472"/>
    </row>
    <row r="94" spans="1:14" s="475" customFormat="1" x14ac:dyDescent="0.25">
      <c r="A94" s="32"/>
      <c r="B94" s="1" t="s">
        <v>52</v>
      </c>
      <c r="C94" s="140"/>
      <c r="D94" s="141"/>
      <c r="E94" s="141"/>
      <c r="F94" s="141"/>
      <c r="G94" s="140"/>
      <c r="H94" s="140">
        <v>-0.28299999999999997</v>
      </c>
      <c r="I94" s="142">
        <v>-0.18099999999999999</v>
      </c>
      <c r="J94" s="142">
        <v>2.7E-2</v>
      </c>
      <c r="K94" s="142">
        <v>0.23599999999999999</v>
      </c>
      <c r="L94" s="129">
        <v>-4.4999999999999998E-2</v>
      </c>
      <c r="M94" s="140">
        <v>0.375</v>
      </c>
      <c r="N94" s="472"/>
    </row>
    <row r="95" spans="1:14" s="475" customFormat="1" x14ac:dyDescent="0.25">
      <c r="A95" s="32"/>
      <c r="B95" s="1" t="s">
        <v>100</v>
      </c>
      <c r="C95" s="140"/>
      <c r="D95" s="141"/>
      <c r="E95" s="141"/>
      <c r="F95" s="141"/>
      <c r="G95" s="140"/>
      <c r="H95" s="140">
        <v>0.224</v>
      </c>
      <c r="I95" s="142">
        <v>0.16600000000000001</v>
      </c>
      <c r="J95" s="142">
        <v>0.13900000000000001</v>
      </c>
      <c r="K95" s="142">
        <v>0.16700000000000001</v>
      </c>
      <c r="L95" s="129">
        <v>0.16900000000000001</v>
      </c>
      <c r="M95" s="140">
        <v>0.13200000000000001</v>
      </c>
      <c r="N95" s="472"/>
    </row>
    <row r="96" spans="1:14" s="475" customFormat="1" x14ac:dyDescent="0.25">
      <c r="A96" s="32"/>
      <c r="B96" s="1" t="str">
        <f>+B85</f>
        <v>Advisory Sales</v>
      </c>
      <c r="C96" s="140"/>
      <c r="D96" s="141"/>
      <c r="E96" s="141"/>
      <c r="F96" s="141"/>
      <c r="G96" s="140"/>
      <c r="H96" s="140">
        <v>4.4999999999999998E-2</v>
      </c>
      <c r="I96" s="142">
        <v>-2.5000000000000001E-2</v>
      </c>
      <c r="J96" s="142">
        <v>0.218</v>
      </c>
      <c r="K96" s="142">
        <v>2.5000000000000001E-2</v>
      </c>
      <c r="L96" s="129">
        <v>5.8000000000000003E-2</v>
      </c>
      <c r="M96" s="140">
        <v>-0.04</v>
      </c>
      <c r="N96" s="472"/>
    </row>
    <row r="97" spans="1:14" s="475" customFormat="1" x14ac:dyDescent="0.25">
      <c r="A97" s="69"/>
      <c r="B97" s="10" t="str">
        <f>+B86</f>
        <v>Commercial Mortgage Origination</v>
      </c>
      <c r="C97" s="143"/>
      <c r="D97" s="144"/>
      <c r="E97" s="144"/>
      <c r="F97" s="144"/>
      <c r="G97" s="143"/>
      <c r="H97" s="143">
        <v>-0.46400000000000002</v>
      </c>
      <c r="I97" s="145">
        <v>-0.41899999999999998</v>
      </c>
      <c r="J97" s="145">
        <v>-0.16200000000000001</v>
      </c>
      <c r="K97" s="145">
        <v>2.2799999999999998</v>
      </c>
      <c r="L97" s="133">
        <v>4.8000000000000001E-2</v>
      </c>
      <c r="M97" s="143">
        <v>0.82399999999999995</v>
      </c>
      <c r="N97" s="472"/>
    </row>
    <row r="98" spans="1:14" s="474" customFormat="1" x14ac:dyDescent="0.25">
      <c r="A98" s="126"/>
      <c r="B98" s="7" t="s">
        <v>12</v>
      </c>
      <c r="C98" s="150"/>
      <c r="D98" s="151"/>
      <c r="E98" s="151"/>
      <c r="F98" s="151"/>
      <c r="G98" s="150"/>
      <c r="H98" s="150">
        <v>0.13300000000000001</v>
      </c>
      <c r="I98" s="152">
        <v>0.154</v>
      </c>
      <c r="J98" s="152">
        <v>0.152</v>
      </c>
      <c r="K98" s="152">
        <v>0.186</v>
      </c>
      <c r="L98" s="146">
        <v>0.16</v>
      </c>
      <c r="M98" s="150">
        <v>9.1999999999999998E-2</v>
      </c>
      <c r="N98" s="478"/>
    </row>
    <row r="99" spans="1:14" s="475" customFormat="1" ht="4.5" customHeight="1" x14ac:dyDescent="0.25">
      <c r="A99" s="32"/>
      <c r="B99" s="34"/>
      <c r="C99" s="68"/>
      <c r="D99" s="35"/>
      <c r="E99" s="35"/>
      <c r="F99" s="35"/>
      <c r="G99" s="65"/>
      <c r="H99" s="68"/>
      <c r="I99" s="126"/>
      <c r="J99" s="126"/>
      <c r="K99" s="126"/>
      <c r="L99" s="132"/>
      <c r="M99" s="68"/>
      <c r="N99" s="474"/>
    </row>
    <row r="100" spans="1:14" s="475" customFormat="1" x14ac:dyDescent="0.25">
      <c r="A100" s="36"/>
      <c r="B100" s="37"/>
      <c r="C100" s="67"/>
      <c r="D100" s="38"/>
      <c r="E100" s="38"/>
      <c r="F100" s="38"/>
      <c r="G100" s="64"/>
      <c r="H100" s="67"/>
      <c r="I100" s="125"/>
      <c r="J100" s="125"/>
      <c r="K100" s="125"/>
      <c r="L100" s="131"/>
      <c r="M100" s="67"/>
      <c r="N100" s="474"/>
    </row>
    <row r="101" spans="1:14" s="475" customFormat="1" x14ac:dyDescent="0.25">
      <c r="A101" s="32"/>
      <c r="B101" s="7" t="s">
        <v>246</v>
      </c>
      <c r="C101" s="68"/>
      <c r="D101" s="35"/>
      <c r="E101" s="35"/>
      <c r="F101" s="35"/>
      <c r="G101" s="65"/>
      <c r="H101" s="68"/>
      <c r="I101" s="126"/>
      <c r="J101" s="126"/>
      <c r="K101" s="126"/>
      <c r="L101" s="132"/>
      <c r="M101" s="68"/>
      <c r="N101" s="474"/>
    </row>
    <row r="102" spans="1:14" s="475" customFormat="1" x14ac:dyDescent="0.25">
      <c r="A102" s="32"/>
      <c r="B102" s="1" t="s">
        <v>99</v>
      </c>
      <c r="C102" s="62"/>
      <c r="D102" s="33"/>
      <c r="E102" s="33"/>
      <c r="F102" s="33"/>
      <c r="G102" s="62"/>
      <c r="H102" s="62">
        <v>0.17199999999999999</v>
      </c>
      <c r="I102" s="124">
        <v>0.18099999999999999</v>
      </c>
      <c r="J102" s="124">
        <v>0.17399999999999999</v>
      </c>
      <c r="K102" s="124">
        <v>0.17199999999999999</v>
      </c>
      <c r="L102" s="129">
        <v>0.17499999999999999</v>
      </c>
      <c r="M102" s="62">
        <v>0.16900000000000001</v>
      </c>
      <c r="N102" s="472"/>
    </row>
    <row r="103" spans="1:14" s="475" customFormat="1" x14ac:dyDescent="0.25">
      <c r="A103" s="32"/>
      <c r="B103" s="1" t="str">
        <f>+B92</f>
        <v>Property &amp; Advisory Project Management</v>
      </c>
      <c r="C103" s="62"/>
      <c r="D103" s="33"/>
      <c r="E103" s="33"/>
      <c r="F103" s="33"/>
      <c r="G103" s="62"/>
      <c r="H103" s="62">
        <v>8.5000000000000006E-2</v>
      </c>
      <c r="I103" s="124">
        <v>0.16300000000000001</v>
      </c>
      <c r="J103" s="124">
        <v>0.05</v>
      </c>
      <c r="K103" s="124">
        <v>0.108</v>
      </c>
      <c r="L103" s="129">
        <v>0.1</v>
      </c>
      <c r="M103" s="62">
        <v>0.17100000000000001</v>
      </c>
      <c r="N103" s="472"/>
    </row>
    <row r="104" spans="1:14" s="475" customFormat="1" x14ac:dyDescent="0.25">
      <c r="A104" s="32"/>
      <c r="B104" s="1" t="s">
        <v>11</v>
      </c>
      <c r="C104" s="62"/>
      <c r="D104" s="33"/>
      <c r="E104" s="33"/>
      <c r="F104" s="33"/>
      <c r="G104" s="62"/>
      <c r="H104" s="62">
        <v>-1.6E-2</v>
      </c>
      <c r="I104" s="124">
        <v>3.5999999999999997E-2</v>
      </c>
      <c r="J104" s="124">
        <v>4.7E-2</v>
      </c>
      <c r="K104" s="124">
        <v>1.0999999999999999E-2</v>
      </c>
      <c r="L104" s="129">
        <v>0.02</v>
      </c>
      <c r="M104" s="62">
        <v>-1.2999999999999999E-2</v>
      </c>
      <c r="N104" s="472"/>
    </row>
    <row r="105" spans="1:14" s="475" customFormat="1" x14ac:dyDescent="0.25">
      <c r="A105" s="32"/>
      <c r="B105" s="1" t="s">
        <v>52</v>
      </c>
      <c r="C105" s="62"/>
      <c r="D105" s="33"/>
      <c r="E105" s="33"/>
      <c r="F105" s="33"/>
      <c r="G105" s="62"/>
      <c r="H105" s="62" t="s">
        <v>229</v>
      </c>
      <c r="I105" s="124">
        <v>1</v>
      </c>
      <c r="J105" s="124">
        <v>1</v>
      </c>
      <c r="K105" s="124">
        <v>1</v>
      </c>
      <c r="L105" s="129">
        <v>1</v>
      </c>
      <c r="M105" s="62">
        <v>1</v>
      </c>
      <c r="N105" s="472"/>
    </row>
    <row r="106" spans="1:14" s="475" customFormat="1" x14ac:dyDescent="0.25">
      <c r="A106" s="32"/>
      <c r="B106" s="1" t="s">
        <v>100</v>
      </c>
      <c r="C106" s="62"/>
      <c r="D106" s="33"/>
      <c r="E106" s="33"/>
      <c r="F106" s="33"/>
      <c r="G106" s="62"/>
      <c r="H106" s="62">
        <v>0.14399999999999999</v>
      </c>
      <c r="I106" s="124">
        <v>0.20899999999999999</v>
      </c>
      <c r="J106" s="124">
        <v>0.17100000000000001</v>
      </c>
      <c r="K106" s="124">
        <v>0.223</v>
      </c>
      <c r="L106" s="129">
        <v>0.19400000000000001</v>
      </c>
      <c r="M106" s="62">
        <v>9.5000000000000001E-2</v>
      </c>
      <c r="N106" s="472"/>
    </row>
    <row r="107" spans="1:14" s="475" customFormat="1" x14ac:dyDescent="0.25">
      <c r="A107" s="32"/>
      <c r="B107" s="1" t="str">
        <f>+B96</f>
        <v>Advisory Sales</v>
      </c>
      <c r="C107" s="62"/>
      <c r="D107" s="33"/>
      <c r="E107" s="33"/>
      <c r="F107" s="33"/>
      <c r="G107" s="62"/>
      <c r="H107" s="62">
        <v>0.09</v>
      </c>
      <c r="I107" s="124">
        <v>-0.128</v>
      </c>
      <c r="J107" s="124">
        <v>-4.8000000000000001E-2</v>
      </c>
      <c r="K107" s="124">
        <v>9.4E-2</v>
      </c>
      <c r="L107" s="129">
        <v>0</v>
      </c>
      <c r="M107" s="62">
        <v>-9.2999999999999999E-2</v>
      </c>
      <c r="N107" s="472"/>
    </row>
    <row r="108" spans="1:14" s="475" customFormat="1" x14ac:dyDescent="0.25">
      <c r="A108" s="69"/>
      <c r="B108" s="10" t="str">
        <f>+B97</f>
        <v>Commercial Mortgage Origination</v>
      </c>
      <c r="C108" s="39"/>
      <c r="D108" s="40"/>
      <c r="E108" s="40"/>
      <c r="F108" s="40"/>
      <c r="G108" s="39"/>
      <c r="H108" s="39">
        <v>-0.96399999999999997</v>
      </c>
      <c r="I108" s="127">
        <v>-0.58499999999999996</v>
      </c>
      <c r="J108" s="127">
        <v>0.254</v>
      </c>
      <c r="K108" s="127">
        <v>10.699</v>
      </c>
      <c r="L108" s="133">
        <v>-0.13</v>
      </c>
      <c r="M108" s="39">
        <v>6.2309999999999999</v>
      </c>
      <c r="N108" s="472"/>
    </row>
    <row r="109" spans="1:14" s="474" customFormat="1" x14ac:dyDescent="0.25">
      <c r="A109" s="126"/>
      <c r="B109" s="7" t="s">
        <v>12</v>
      </c>
      <c r="C109" s="147"/>
      <c r="D109" s="148"/>
      <c r="E109" s="148"/>
      <c r="F109" s="148"/>
      <c r="G109" s="147"/>
      <c r="H109" s="147">
        <v>9.8000000000000004E-2</v>
      </c>
      <c r="I109" s="149">
        <v>7.2999999999999995E-2</v>
      </c>
      <c r="J109" s="149">
        <v>7.6999999999999999E-2</v>
      </c>
      <c r="K109" s="149">
        <v>0.14299999999999999</v>
      </c>
      <c r="L109" s="146">
        <v>0.1</v>
      </c>
      <c r="M109" s="147">
        <v>6.8000000000000005E-2</v>
      </c>
      <c r="N109" s="478"/>
    </row>
    <row r="110" spans="1:14" s="475" customFormat="1" ht="4.5" customHeight="1" x14ac:dyDescent="0.25">
      <c r="A110" s="32"/>
      <c r="B110" s="484"/>
      <c r="C110" s="485"/>
      <c r="D110" s="485"/>
      <c r="E110" s="485"/>
      <c r="F110" s="485"/>
      <c r="G110" s="474"/>
      <c r="H110" s="485"/>
      <c r="I110" s="474"/>
      <c r="J110" s="474"/>
      <c r="K110" s="474"/>
      <c r="L110" s="474"/>
      <c r="M110" s="485"/>
      <c r="N110" s="474"/>
    </row>
  </sheetData>
  <pageMargins left="0.2" right="0.2" top="0.5" bottom="0.5" header="0.3" footer="0.3"/>
  <pageSetup scale="69" fitToHeight="2" orientation="landscape" horizontalDpi="4294967293" verticalDpi="4294967293" r:id="rId1"/>
  <customProperties>
    <customPr name="SheetOptions" r:id="rId2"/>
    <customPr name="WORKBKFUNCTIONCACHE"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285CA-95E9-43D8-9BA2-2C10DADDCE28}">
  <sheetPr>
    <pageSetUpPr fitToPage="1"/>
  </sheetPr>
  <dimension ref="A1:N36"/>
  <sheetViews>
    <sheetView showGridLines="0" zoomScaleNormal="100" zoomScaleSheetLayoutView="100" workbookViewId="0">
      <pane xSplit="1" ySplit="4" topLeftCell="B5" activePane="bottomRight" state="frozen"/>
      <selection activeCell="B55" sqref="B55"/>
      <selection pane="topRight" activeCell="B55" sqref="B55"/>
      <selection pane="bottomLeft" activeCell="B55" sqref="B55"/>
      <selection pane="bottomRight"/>
    </sheetView>
  </sheetViews>
  <sheetFormatPr defaultColWidth="9.140625" defaultRowHeight="15" x14ac:dyDescent="0.25"/>
  <cols>
    <col min="1" max="1" width="46.5703125" style="1" customWidth="1"/>
    <col min="2" max="2" width="10.140625" style="60" bestFit="1" customWidth="1"/>
    <col min="3" max="3" width="10.28515625" style="3" customWidth="1"/>
    <col min="4" max="4" width="10.28515625" style="3" bestFit="1" customWidth="1"/>
    <col min="5" max="5" width="11" style="3" customWidth="1"/>
    <col min="6" max="6" width="11.140625" style="3" customWidth="1"/>
    <col min="7" max="7" width="10.42578125" style="3" customWidth="1"/>
    <col min="8" max="8" width="10.42578125" style="3" bestFit="1" customWidth="1"/>
    <col min="9" max="11" width="10.7109375" style="3" customWidth="1"/>
    <col min="12" max="12" width="11.5703125" style="3" customWidth="1"/>
    <col min="13" max="16384" width="9.140625" style="3"/>
  </cols>
  <sheetData>
    <row r="1" spans="1:12" x14ac:dyDescent="0.25">
      <c r="A1" s="41" t="s">
        <v>60</v>
      </c>
      <c r="B1" s="3"/>
    </row>
    <row r="2" spans="1:12" x14ac:dyDescent="0.25">
      <c r="A2" s="78" t="s">
        <v>61</v>
      </c>
      <c r="B2" s="161" t="s">
        <v>54</v>
      </c>
      <c r="C2" s="161" t="s">
        <v>54</v>
      </c>
      <c r="D2" s="161" t="s">
        <v>54</v>
      </c>
      <c r="E2" s="161" t="s">
        <v>54</v>
      </c>
      <c r="F2" s="161" t="s">
        <v>54</v>
      </c>
    </row>
    <row r="3" spans="1:12" x14ac:dyDescent="0.25">
      <c r="A3" s="79"/>
      <c r="B3" s="81" t="s">
        <v>0</v>
      </c>
      <c r="C3" s="80" t="s">
        <v>1</v>
      </c>
      <c r="D3" s="80" t="s">
        <v>45</v>
      </c>
      <c r="E3" s="80" t="s">
        <v>46</v>
      </c>
      <c r="F3" s="81">
        <v>2017</v>
      </c>
      <c r="G3" s="81" t="s">
        <v>47</v>
      </c>
      <c r="H3" s="80" t="s">
        <v>44</v>
      </c>
      <c r="I3" s="80" t="s">
        <v>57</v>
      </c>
      <c r="J3" s="80" t="s">
        <v>58</v>
      </c>
      <c r="K3" s="81">
        <v>2018</v>
      </c>
      <c r="L3" s="81" t="s">
        <v>105</v>
      </c>
    </row>
    <row r="4" spans="1:12" x14ac:dyDescent="0.25">
      <c r="A4" s="82" t="s">
        <v>62</v>
      </c>
      <c r="B4" s="84"/>
      <c r="C4" s="83"/>
      <c r="D4" s="83"/>
      <c r="E4" s="83"/>
      <c r="F4" s="84"/>
      <c r="G4" s="84"/>
      <c r="H4" s="83"/>
      <c r="I4" s="83"/>
      <c r="J4" s="83"/>
      <c r="K4" s="85"/>
      <c r="L4" s="84"/>
    </row>
    <row r="5" spans="1:12" x14ac:dyDescent="0.25">
      <c r="A5" s="86" t="s">
        <v>63</v>
      </c>
      <c r="B5" s="58">
        <v>533.29999999999995</v>
      </c>
      <c r="C5" s="52">
        <v>535.68100000000004</v>
      </c>
      <c r="D5" s="51">
        <v>955.6</v>
      </c>
      <c r="E5" s="51">
        <v>751.8</v>
      </c>
      <c r="F5" s="58">
        <f t="shared" ref="F5:F13" si="0">+E5</f>
        <v>751.8</v>
      </c>
      <c r="G5" s="58">
        <v>642.9</v>
      </c>
      <c r="H5" s="52">
        <v>531.5</v>
      </c>
      <c r="I5" s="52">
        <v>550.5</v>
      </c>
      <c r="J5" s="52">
        <v>777.2</v>
      </c>
      <c r="K5" s="87">
        <v>777.2</v>
      </c>
      <c r="L5" s="58">
        <v>605</v>
      </c>
    </row>
    <row r="6" spans="1:12" x14ac:dyDescent="0.25">
      <c r="A6" s="86" t="s">
        <v>64</v>
      </c>
      <c r="B6" s="58">
        <v>59.1</v>
      </c>
      <c r="C6" s="52">
        <v>74.72</v>
      </c>
      <c r="D6" s="51">
        <v>84.8</v>
      </c>
      <c r="E6" s="51">
        <v>73</v>
      </c>
      <c r="F6" s="58">
        <f t="shared" si="0"/>
        <v>73</v>
      </c>
      <c r="G6" s="58">
        <v>79</v>
      </c>
      <c r="H6" s="52">
        <v>71.900000000000006</v>
      </c>
      <c r="I6" s="52">
        <v>77.5</v>
      </c>
      <c r="J6" s="52">
        <v>86.7</v>
      </c>
      <c r="K6" s="87">
        <v>86.7</v>
      </c>
      <c r="L6" s="58">
        <v>82.7</v>
      </c>
    </row>
    <row r="7" spans="1:12" x14ac:dyDescent="0.25">
      <c r="A7" s="86" t="s">
        <v>65</v>
      </c>
      <c r="B7" s="58">
        <v>2444.5</v>
      </c>
      <c r="C7" s="52">
        <v>2573.6999999999998</v>
      </c>
      <c r="D7" s="51">
        <v>2758.1</v>
      </c>
      <c r="E7" s="51">
        <v>3112.3</v>
      </c>
      <c r="F7" s="58">
        <f t="shared" si="0"/>
        <v>3112.3</v>
      </c>
      <c r="G7" s="58">
        <v>3121.5</v>
      </c>
      <c r="H7" s="52">
        <v>3324.5</v>
      </c>
      <c r="I7" s="52">
        <v>3410.7</v>
      </c>
      <c r="J7" s="52">
        <v>3668.6</v>
      </c>
      <c r="K7" s="87">
        <v>3668.6</v>
      </c>
      <c r="L7" s="58">
        <v>3801.5</v>
      </c>
    </row>
    <row r="8" spans="1:12" x14ac:dyDescent="0.25">
      <c r="A8" s="86" t="s">
        <v>66</v>
      </c>
      <c r="B8" s="58">
        <v>685.1</v>
      </c>
      <c r="C8" s="52">
        <v>1069.8889999999999</v>
      </c>
      <c r="D8" s="51">
        <v>1434.9</v>
      </c>
      <c r="E8" s="51">
        <v>928</v>
      </c>
      <c r="F8" s="58">
        <f t="shared" si="0"/>
        <v>928</v>
      </c>
      <c r="G8" s="58">
        <v>1161.7</v>
      </c>
      <c r="H8" s="52">
        <v>1488.3</v>
      </c>
      <c r="I8" s="52">
        <v>1598</v>
      </c>
      <c r="J8" s="52">
        <v>1342.5</v>
      </c>
      <c r="K8" s="87">
        <v>1342.5</v>
      </c>
      <c r="L8" s="58">
        <v>1548.2</v>
      </c>
    </row>
    <row r="9" spans="1:12" x14ac:dyDescent="0.25">
      <c r="A9" s="86" t="s">
        <v>67</v>
      </c>
      <c r="B9" s="58">
        <v>551.6</v>
      </c>
      <c r="C9" s="52">
        <v>556.48</v>
      </c>
      <c r="D9" s="51">
        <v>574.29999999999995</v>
      </c>
      <c r="E9" s="51">
        <v>617.70000000000005</v>
      </c>
      <c r="F9" s="58">
        <f t="shared" si="0"/>
        <v>617.70000000000005</v>
      </c>
      <c r="G9" s="58">
        <v>633.70000000000005</v>
      </c>
      <c r="H9" s="52">
        <v>705.5</v>
      </c>
      <c r="I9" s="52">
        <v>702.4</v>
      </c>
      <c r="J9" s="52">
        <v>721.7</v>
      </c>
      <c r="K9" s="87">
        <v>721.7</v>
      </c>
      <c r="L9" s="58">
        <v>730.4</v>
      </c>
    </row>
    <row r="10" spans="1:12" s="413" customFormat="1" x14ac:dyDescent="0.25">
      <c r="A10" s="86" t="s">
        <v>221</v>
      </c>
      <c r="B10" s="58">
        <v>0</v>
      </c>
      <c r="C10" s="52">
        <v>0</v>
      </c>
      <c r="D10" s="51">
        <v>0</v>
      </c>
      <c r="E10" s="51">
        <v>0</v>
      </c>
      <c r="F10" s="58">
        <f t="shared" si="0"/>
        <v>0</v>
      </c>
      <c r="G10" s="58">
        <v>0</v>
      </c>
      <c r="H10" s="52">
        <v>0</v>
      </c>
      <c r="I10" s="52">
        <v>0</v>
      </c>
      <c r="J10" s="52">
        <v>0</v>
      </c>
      <c r="K10" s="87">
        <v>0</v>
      </c>
      <c r="L10" s="58">
        <v>938.7</v>
      </c>
    </row>
    <row r="11" spans="1:12" x14ac:dyDescent="0.25">
      <c r="A11" s="86" t="s">
        <v>68</v>
      </c>
      <c r="B11" s="58">
        <v>4422.8</v>
      </c>
      <c r="C11" s="52">
        <v>4494.7370000000001</v>
      </c>
      <c r="D11" s="51">
        <v>4535.8999999999996</v>
      </c>
      <c r="E11" s="51">
        <v>4653.8999999999996</v>
      </c>
      <c r="F11" s="58">
        <f t="shared" si="0"/>
        <v>4653.8999999999996</v>
      </c>
      <c r="G11" s="58">
        <v>4677.1000000000004</v>
      </c>
      <c r="H11" s="52">
        <v>4855.5</v>
      </c>
      <c r="I11" s="52">
        <v>5046.6000000000004</v>
      </c>
      <c r="J11" s="52">
        <v>5093.6000000000004</v>
      </c>
      <c r="K11" s="87">
        <v>5093.6000000000004</v>
      </c>
      <c r="L11" s="58">
        <v>5002.5</v>
      </c>
    </row>
    <row r="12" spans="1:12" ht="28.5" x14ac:dyDescent="0.25">
      <c r="A12" s="86" t="s">
        <v>69</v>
      </c>
      <c r="B12" s="58">
        <v>242.5</v>
      </c>
      <c r="C12" s="52">
        <v>246.715</v>
      </c>
      <c r="D12" s="51">
        <v>233.6</v>
      </c>
      <c r="E12" s="51">
        <v>238</v>
      </c>
      <c r="F12" s="58">
        <f t="shared" si="0"/>
        <v>238</v>
      </c>
      <c r="G12" s="58">
        <v>228.9</v>
      </c>
      <c r="H12" s="52">
        <v>233.9</v>
      </c>
      <c r="I12" s="52">
        <v>195.3</v>
      </c>
      <c r="J12" s="52">
        <v>216.2</v>
      </c>
      <c r="K12" s="87">
        <v>216.2</v>
      </c>
      <c r="L12" s="58">
        <v>228.4</v>
      </c>
    </row>
    <row r="13" spans="1:12" x14ac:dyDescent="0.25">
      <c r="A13" s="88" t="s">
        <v>70</v>
      </c>
      <c r="B13" s="90">
        <v>1152.4000000000001</v>
      </c>
      <c r="C13" s="89">
        <v>1221</v>
      </c>
      <c r="D13" s="92">
        <v>1223.5</v>
      </c>
      <c r="E13" s="92">
        <v>1343.7</v>
      </c>
      <c r="F13" s="90">
        <f t="shared" si="0"/>
        <v>1343.7</v>
      </c>
      <c r="G13" s="90">
        <v>1362.6</v>
      </c>
      <c r="H13" s="89">
        <v>1324.4</v>
      </c>
      <c r="I13" s="89">
        <v>1396.1</v>
      </c>
      <c r="J13" s="89">
        <v>1550.3</v>
      </c>
      <c r="K13" s="91">
        <v>1550.3</v>
      </c>
      <c r="L13" s="90">
        <v>1755.6</v>
      </c>
    </row>
    <row r="14" spans="1:12" x14ac:dyDescent="0.25">
      <c r="A14" s="93" t="s">
        <v>71</v>
      </c>
      <c r="B14" s="95">
        <f t="shared" ref="B14:K14" si="1">SUM(B5:B13)</f>
        <v>10091.300000000001</v>
      </c>
      <c r="C14" s="94">
        <f t="shared" si="1"/>
        <v>10772.921999999999</v>
      </c>
      <c r="D14" s="94">
        <f t="shared" si="1"/>
        <v>11800.699999999999</v>
      </c>
      <c r="E14" s="94">
        <f t="shared" si="1"/>
        <v>11718.400000000001</v>
      </c>
      <c r="F14" s="95">
        <f t="shared" si="1"/>
        <v>11718.400000000001</v>
      </c>
      <c r="G14" s="95">
        <f t="shared" si="1"/>
        <v>11907.400000000001</v>
      </c>
      <c r="H14" s="94">
        <f t="shared" si="1"/>
        <v>12535.5</v>
      </c>
      <c r="I14" s="94">
        <f t="shared" si="1"/>
        <v>12977.1</v>
      </c>
      <c r="J14" s="94">
        <f t="shared" si="1"/>
        <v>13456.8</v>
      </c>
      <c r="K14" s="96">
        <f t="shared" si="1"/>
        <v>13456.8</v>
      </c>
      <c r="L14" s="95">
        <f t="shared" ref="L14" si="2">SUM(L5:L13)</f>
        <v>14693</v>
      </c>
    </row>
    <row r="15" spans="1:12" x14ac:dyDescent="0.25">
      <c r="A15" s="86"/>
      <c r="B15" s="58"/>
      <c r="C15" s="52"/>
      <c r="D15" s="51"/>
      <c r="E15" s="51"/>
      <c r="F15" s="58"/>
      <c r="G15" s="58"/>
      <c r="H15" s="52"/>
      <c r="I15" s="52"/>
      <c r="J15" s="52"/>
      <c r="K15" s="87"/>
      <c r="L15" s="58"/>
    </row>
    <row r="16" spans="1:12" x14ac:dyDescent="0.25">
      <c r="A16" s="82" t="s">
        <v>72</v>
      </c>
      <c r="B16" s="84"/>
      <c r="C16" s="83"/>
      <c r="D16" s="83"/>
      <c r="E16" s="83"/>
      <c r="F16" s="84"/>
      <c r="G16" s="84"/>
      <c r="H16" s="83"/>
      <c r="I16" s="83"/>
      <c r="J16" s="83"/>
      <c r="K16" s="85"/>
      <c r="L16" s="84"/>
    </row>
    <row r="17" spans="1:14" x14ac:dyDescent="0.25">
      <c r="A17" s="86" t="s">
        <v>73</v>
      </c>
      <c r="B17" s="58">
        <v>2749.3</v>
      </c>
      <c r="C17" s="52">
        <v>2807.7</v>
      </c>
      <c r="D17" s="51">
        <v>3179.1</v>
      </c>
      <c r="E17" s="51">
        <v>3802.2</v>
      </c>
      <c r="F17" s="58">
        <f t="shared" ref="F17:F24" si="3">+E17</f>
        <v>3802.2</v>
      </c>
      <c r="G17" s="58">
        <v>3258.6</v>
      </c>
      <c r="H17" s="52">
        <v>3310.1</v>
      </c>
      <c r="I17" s="52">
        <v>3761</v>
      </c>
      <c r="J17" s="52">
        <v>4471.5</v>
      </c>
      <c r="K17" s="87">
        <v>4471.5</v>
      </c>
      <c r="L17" s="58">
        <v>3924.8</v>
      </c>
    </row>
    <row r="18" spans="1:14" ht="43.15" customHeight="1" x14ac:dyDescent="0.25">
      <c r="A18" s="86" t="s">
        <v>115</v>
      </c>
      <c r="B18" s="98">
        <v>671.5</v>
      </c>
      <c r="C18" s="97">
        <v>1054.97</v>
      </c>
      <c r="D18" s="100">
        <v>1416.3</v>
      </c>
      <c r="E18" s="100">
        <v>910.8</v>
      </c>
      <c r="F18" s="98">
        <f t="shared" si="3"/>
        <v>910.8</v>
      </c>
      <c r="G18" s="98">
        <v>1148</v>
      </c>
      <c r="H18" s="97">
        <v>1471.6</v>
      </c>
      <c r="I18" s="97">
        <v>1579.7</v>
      </c>
      <c r="J18" s="97">
        <v>1328.8</v>
      </c>
      <c r="K18" s="99">
        <v>1328.8</v>
      </c>
      <c r="L18" s="98">
        <v>1561.2</v>
      </c>
    </row>
    <row r="19" spans="1:14" ht="14.65" customHeight="1" x14ac:dyDescent="0.25">
      <c r="A19" s="86" t="s">
        <v>74</v>
      </c>
      <c r="B19" s="98">
        <v>120</v>
      </c>
      <c r="C19" s="97">
        <v>0</v>
      </c>
      <c r="D19" s="51">
        <v>0</v>
      </c>
      <c r="E19" s="51">
        <v>0</v>
      </c>
      <c r="F19" s="58">
        <f t="shared" si="3"/>
        <v>0</v>
      </c>
      <c r="G19" s="98">
        <v>463</v>
      </c>
      <c r="H19" s="97">
        <v>598</v>
      </c>
      <c r="I19" s="97">
        <v>141</v>
      </c>
      <c r="J19" s="97">
        <v>0</v>
      </c>
      <c r="K19" s="99">
        <v>0</v>
      </c>
      <c r="L19" s="98">
        <v>336</v>
      </c>
    </row>
    <row r="20" spans="1:14" x14ac:dyDescent="0.25">
      <c r="A20" s="86" t="s">
        <v>75</v>
      </c>
      <c r="B20" s="58">
        <v>744.9</v>
      </c>
      <c r="C20" s="52">
        <v>745.46100000000001</v>
      </c>
      <c r="D20" s="51">
        <v>746</v>
      </c>
      <c r="E20" s="51">
        <v>193.5</v>
      </c>
      <c r="F20" s="58">
        <f t="shared" si="3"/>
        <v>193.5</v>
      </c>
      <c r="G20" s="58">
        <v>743.5</v>
      </c>
      <c r="H20" s="52">
        <v>743.7</v>
      </c>
      <c r="I20" s="52">
        <v>744.1</v>
      </c>
      <c r="J20" s="52">
        <v>751.2</v>
      </c>
      <c r="K20" s="87">
        <v>751.2</v>
      </c>
      <c r="L20" s="58">
        <v>744</v>
      </c>
    </row>
    <row r="21" spans="1:14" x14ac:dyDescent="0.25">
      <c r="A21" s="86" t="s">
        <v>76</v>
      </c>
      <c r="B21" s="58">
        <v>1804.4</v>
      </c>
      <c r="C21" s="52">
        <f>591.583+422.3+791.06</f>
        <v>1804.943</v>
      </c>
      <c r="D21" s="51">
        <v>1805.5</v>
      </c>
      <c r="E21" s="51">
        <v>1806.1</v>
      </c>
      <c r="F21" s="58">
        <f t="shared" si="3"/>
        <v>1806.1</v>
      </c>
      <c r="G21" s="58">
        <v>1014.7</v>
      </c>
      <c r="H21" s="52">
        <v>1014.9</v>
      </c>
      <c r="I21" s="52">
        <v>1015.2</v>
      </c>
      <c r="J21" s="52">
        <f>592.8+422.7</f>
        <v>1015.5</v>
      </c>
      <c r="K21" s="87">
        <f>592.8+422.7</f>
        <v>1015.5</v>
      </c>
      <c r="L21" s="58">
        <f>593+422.8</f>
        <v>1015.8</v>
      </c>
      <c r="N21" s="3" t="s">
        <v>54</v>
      </c>
    </row>
    <row r="22" spans="1:14" x14ac:dyDescent="0.25">
      <c r="A22" s="86" t="s">
        <v>77</v>
      </c>
      <c r="B22" s="58">
        <v>0</v>
      </c>
      <c r="C22" s="52">
        <v>0</v>
      </c>
      <c r="D22" s="51">
        <v>0</v>
      </c>
      <c r="E22" s="51">
        <v>0</v>
      </c>
      <c r="F22" s="58">
        <f t="shared" si="3"/>
        <v>0</v>
      </c>
      <c r="G22" s="58">
        <v>0</v>
      </c>
      <c r="H22" s="52">
        <v>5.7</v>
      </c>
      <c r="I22" s="52">
        <v>4.8</v>
      </c>
      <c r="J22" s="52">
        <v>3.7</v>
      </c>
      <c r="K22" s="87">
        <v>3.7</v>
      </c>
      <c r="L22" s="58">
        <v>3</v>
      </c>
    </row>
    <row r="23" spans="1:14" s="413" customFormat="1" x14ac:dyDescent="0.25">
      <c r="A23" s="86" t="s">
        <v>222</v>
      </c>
      <c r="B23" s="58">
        <v>0</v>
      </c>
      <c r="C23" s="52">
        <v>0</v>
      </c>
      <c r="D23" s="51">
        <v>0</v>
      </c>
      <c r="E23" s="51">
        <v>0</v>
      </c>
      <c r="F23" s="58">
        <f t="shared" si="3"/>
        <v>0</v>
      </c>
      <c r="G23" s="58">
        <v>0</v>
      </c>
      <c r="H23" s="52">
        <v>0</v>
      </c>
      <c r="I23" s="52">
        <v>0</v>
      </c>
      <c r="J23" s="52">
        <v>0</v>
      </c>
      <c r="K23" s="87">
        <v>0</v>
      </c>
      <c r="L23" s="58">
        <v>1154.7</v>
      </c>
    </row>
    <row r="24" spans="1:14" x14ac:dyDescent="0.25">
      <c r="A24" s="88" t="s">
        <v>78</v>
      </c>
      <c r="B24" s="90">
        <v>646.79999999999995</v>
      </c>
      <c r="C24" s="89">
        <v>675.7</v>
      </c>
      <c r="D24" s="92">
        <v>697.8</v>
      </c>
      <c r="E24" s="92">
        <v>831.2</v>
      </c>
      <c r="F24" s="90">
        <f t="shared" si="3"/>
        <v>831.2</v>
      </c>
      <c r="G24" s="90">
        <v>860.9</v>
      </c>
      <c r="H24" s="89">
        <v>874.6</v>
      </c>
      <c r="I24" s="89">
        <v>958.9</v>
      </c>
      <c r="J24" s="89">
        <v>876.2</v>
      </c>
      <c r="K24" s="91">
        <v>876.2</v>
      </c>
      <c r="L24" s="90">
        <v>749.3</v>
      </c>
    </row>
    <row r="25" spans="1:14" x14ac:dyDescent="0.25">
      <c r="A25" s="93" t="s">
        <v>79</v>
      </c>
      <c r="B25" s="95">
        <f t="shared" ref="B25:K25" si="4">SUM(B17:B24)</f>
        <v>6736.9000000000005</v>
      </c>
      <c r="C25" s="94">
        <f t="shared" si="4"/>
        <v>7088.7740000000003</v>
      </c>
      <c r="D25" s="94">
        <f t="shared" si="4"/>
        <v>7844.7</v>
      </c>
      <c r="E25" s="94">
        <f t="shared" si="4"/>
        <v>7543.8</v>
      </c>
      <c r="F25" s="95">
        <f t="shared" si="4"/>
        <v>7543.8</v>
      </c>
      <c r="G25" s="95">
        <f t="shared" si="4"/>
        <v>7488.7</v>
      </c>
      <c r="H25" s="94">
        <f t="shared" si="4"/>
        <v>8018.5999999999995</v>
      </c>
      <c r="I25" s="94">
        <f t="shared" si="4"/>
        <v>8204.7000000000007</v>
      </c>
      <c r="J25" s="94">
        <f t="shared" si="4"/>
        <v>8446.9</v>
      </c>
      <c r="K25" s="96">
        <f t="shared" si="4"/>
        <v>8446.9</v>
      </c>
      <c r="L25" s="95">
        <f t="shared" ref="L25" si="5">SUM(L17:L24)</f>
        <v>9488.7999999999993</v>
      </c>
    </row>
    <row r="26" spans="1:14" x14ac:dyDescent="0.25">
      <c r="A26" s="86"/>
      <c r="B26" s="58"/>
      <c r="C26" s="52"/>
      <c r="D26" s="51"/>
      <c r="E26" s="51"/>
      <c r="F26" s="58"/>
      <c r="G26" s="58"/>
      <c r="H26" s="52"/>
      <c r="I26" s="52"/>
      <c r="J26" s="52"/>
      <c r="K26" s="87"/>
      <c r="L26" s="58"/>
    </row>
    <row r="27" spans="1:14" x14ac:dyDescent="0.25">
      <c r="A27" s="82" t="s">
        <v>80</v>
      </c>
      <c r="B27" s="84"/>
      <c r="C27" s="83"/>
      <c r="D27" s="83"/>
      <c r="E27" s="83"/>
      <c r="F27" s="84"/>
      <c r="G27" s="84"/>
      <c r="H27" s="83"/>
      <c r="I27" s="83"/>
      <c r="J27" s="83"/>
      <c r="K27" s="85"/>
      <c r="L27" s="84"/>
    </row>
    <row r="28" spans="1:14" x14ac:dyDescent="0.25">
      <c r="A28" s="86" t="s">
        <v>81</v>
      </c>
      <c r="B28" s="58">
        <v>3308.1</v>
      </c>
      <c r="C28" s="52">
        <v>3640.8</v>
      </c>
      <c r="D28" s="51">
        <v>3899.7</v>
      </c>
      <c r="E28" s="51">
        <v>4114.5</v>
      </c>
      <c r="F28" s="58">
        <f>+E28</f>
        <v>4114.5</v>
      </c>
      <c r="G28" s="58">
        <v>4357.6000000000004</v>
      </c>
      <c r="H28" s="52">
        <v>4453.6000000000004</v>
      </c>
      <c r="I28" s="52">
        <v>4713</v>
      </c>
      <c r="J28" s="52">
        <v>4938.8</v>
      </c>
      <c r="K28" s="87">
        <v>4938.8</v>
      </c>
      <c r="L28" s="58">
        <v>5089.3999999999996</v>
      </c>
    </row>
    <row r="29" spans="1:14" x14ac:dyDescent="0.25">
      <c r="A29" s="88" t="s">
        <v>82</v>
      </c>
      <c r="B29" s="90">
        <v>46.3</v>
      </c>
      <c r="C29" s="89">
        <v>43.332999999999998</v>
      </c>
      <c r="D29" s="92">
        <v>56.3</v>
      </c>
      <c r="E29" s="92">
        <v>60.1</v>
      </c>
      <c r="F29" s="90">
        <f>+E29</f>
        <v>60.1</v>
      </c>
      <c r="G29" s="90">
        <v>61.1</v>
      </c>
      <c r="H29" s="89">
        <v>63.3</v>
      </c>
      <c r="I29" s="89">
        <v>59.4</v>
      </c>
      <c r="J29" s="89">
        <v>71.099999999999994</v>
      </c>
      <c r="K29" s="91">
        <v>71.099999999999994</v>
      </c>
      <c r="L29" s="90">
        <v>114.8</v>
      </c>
    </row>
    <row r="30" spans="1:14" x14ac:dyDescent="0.25">
      <c r="A30" s="93" t="s">
        <v>83</v>
      </c>
      <c r="B30" s="95">
        <f t="shared" ref="B30:K30" si="6">+B28+B29</f>
        <v>3354.4</v>
      </c>
      <c r="C30" s="94">
        <f t="shared" si="6"/>
        <v>3684.1330000000003</v>
      </c>
      <c r="D30" s="101">
        <f t="shared" si="6"/>
        <v>3956</v>
      </c>
      <c r="E30" s="101">
        <f t="shared" si="6"/>
        <v>4174.6000000000004</v>
      </c>
      <c r="F30" s="95">
        <f t="shared" si="6"/>
        <v>4174.6000000000004</v>
      </c>
      <c r="G30" s="95">
        <f t="shared" si="6"/>
        <v>4418.7000000000007</v>
      </c>
      <c r="H30" s="94">
        <f t="shared" si="6"/>
        <v>4516.9000000000005</v>
      </c>
      <c r="I30" s="94">
        <f t="shared" si="6"/>
        <v>4772.3999999999996</v>
      </c>
      <c r="J30" s="94">
        <f t="shared" si="6"/>
        <v>5009.9000000000005</v>
      </c>
      <c r="K30" s="96">
        <f t="shared" si="6"/>
        <v>5009.9000000000005</v>
      </c>
      <c r="L30" s="95">
        <f t="shared" ref="L30" si="7">+L28+L29</f>
        <v>5204.2</v>
      </c>
    </row>
    <row r="31" spans="1:14" x14ac:dyDescent="0.25">
      <c r="A31" s="88"/>
      <c r="B31" s="90"/>
      <c r="C31" s="89"/>
      <c r="D31" s="92"/>
      <c r="E31" s="92"/>
      <c r="F31" s="90"/>
      <c r="G31" s="90"/>
      <c r="H31" s="89"/>
      <c r="I31" s="89"/>
      <c r="J31" s="89"/>
      <c r="K31" s="91"/>
      <c r="L31" s="90"/>
    </row>
    <row r="32" spans="1:14" x14ac:dyDescent="0.25">
      <c r="A32" s="165" t="s">
        <v>84</v>
      </c>
      <c r="B32" s="164">
        <f t="shared" ref="B32:K32" si="8">+B25+B30</f>
        <v>10091.300000000001</v>
      </c>
      <c r="C32" s="163">
        <f t="shared" si="8"/>
        <v>10772.907000000001</v>
      </c>
      <c r="D32" s="163">
        <f t="shared" si="8"/>
        <v>11800.7</v>
      </c>
      <c r="E32" s="163">
        <f t="shared" si="8"/>
        <v>11718.400000000001</v>
      </c>
      <c r="F32" s="164">
        <f t="shared" si="8"/>
        <v>11718.400000000001</v>
      </c>
      <c r="G32" s="164">
        <f t="shared" si="8"/>
        <v>11907.400000000001</v>
      </c>
      <c r="H32" s="163">
        <f t="shared" si="8"/>
        <v>12535.5</v>
      </c>
      <c r="I32" s="163">
        <f t="shared" si="8"/>
        <v>12977.1</v>
      </c>
      <c r="J32" s="163">
        <f t="shared" si="8"/>
        <v>13456.8</v>
      </c>
      <c r="K32" s="162">
        <f t="shared" si="8"/>
        <v>13456.8</v>
      </c>
      <c r="L32" s="164">
        <f t="shared" ref="L32" si="9">+L25+L30</f>
        <v>14693</v>
      </c>
    </row>
    <row r="33" spans="1:8" x14ac:dyDescent="0.25">
      <c r="A33" s="102"/>
      <c r="B33" s="52"/>
      <c r="C33" s="52"/>
      <c r="D33" s="103"/>
      <c r="E33" s="2"/>
      <c r="F33" s="52"/>
      <c r="G33" s="52"/>
      <c r="H33" s="52"/>
    </row>
    <row r="34" spans="1:8" ht="14.65" customHeight="1" x14ac:dyDescent="0.25">
      <c r="A34" s="428" t="s">
        <v>223</v>
      </c>
      <c r="B34" s="43"/>
      <c r="C34" s="106"/>
      <c r="D34" s="43"/>
      <c r="F34" s="43"/>
      <c r="G34" s="43"/>
      <c r="H34" s="106"/>
    </row>
    <row r="35" spans="1:8" x14ac:dyDescent="0.25">
      <c r="A35" s="495" t="s">
        <v>224</v>
      </c>
      <c r="B35" s="494"/>
      <c r="C35" s="494"/>
      <c r="D35" s="494"/>
      <c r="E35" s="494"/>
      <c r="F35" s="494"/>
      <c r="G35" s="494"/>
      <c r="H35" s="106"/>
    </row>
    <row r="36" spans="1:8" x14ac:dyDescent="0.25">
      <c r="A36" s="108"/>
      <c r="B36" s="109"/>
      <c r="C36" s="109"/>
      <c r="D36" s="109"/>
    </row>
  </sheetData>
  <mergeCells count="1">
    <mergeCell ref="A35:G35"/>
  </mergeCells>
  <pageMargins left="0.2" right="0.2" top="0.75" bottom="0.5" header="0.3" footer="0.3"/>
  <pageSetup scale="82"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Cover</vt:lpstr>
      <vt:lpstr>Operating Results</vt:lpstr>
      <vt:lpstr>Segment Results</vt:lpstr>
      <vt:lpstr>Segment Revenue Detail History</vt:lpstr>
      <vt:lpstr>Segment EBITDA Detail History</vt:lpstr>
      <vt:lpstr>Investment Segment Detail</vt:lpstr>
      <vt:lpstr>Income Statement History</vt:lpstr>
      <vt:lpstr>Historical Segment Detail</vt:lpstr>
      <vt:lpstr>Balance Sheet History</vt:lpstr>
      <vt:lpstr>EBITDA Reconciliation</vt:lpstr>
      <vt:lpstr>NonGAAP Financial Measures</vt:lpstr>
      <vt:lpstr>Input</vt:lpstr>
      <vt:lpstr>Input2</vt:lpstr>
      <vt:lpstr>'Balance Sheet History'!Print_Area</vt:lpstr>
      <vt:lpstr>Cover!Print_Area</vt:lpstr>
      <vt:lpstr>'EBITDA Reconciliation'!Print_Area</vt:lpstr>
      <vt:lpstr>'Historical Segment Detail'!Print_Area</vt:lpstr>
      <vt:lpstr>'Income Statement History'!Print_Area</vt:lpstr>
      <vt:lpstr>'Investment Segment Detail'!Print_Area</vt:lpstr>
      <vt:lpstr>'NonGAAP Financial Measures'!Print_Area</vt:lpstr>
      <vt:lpstr>'Operating Results'!Print_Area</vt:lpstr>
      <vt:lpstr>'Segment EBITDA Detail History'!Print_Area</vt:lpstr>
      <vt:lpstr>'Segment Results'!Print_Area</vt:lpstr>
      <vt:lpstr>'Segment Revenue Detail History'!Print_Area</vt:lpstr>
      <vt:lpstr>'Historical Segment Detail'!Print_Titles</vt:lpstr>
      <vt:lpstr>'Income Statement History'!Print_Titles</vt:lpstr>
      <vt:lpstr>'Segment EBITDA Detail History'!Print_Titles</vt:lpstr>
      <vt:lpstr>'Segment Revenue Detail History'!Print_Titles</vt:lpstr>
      <vt:lpstr>Segment_3mo_CY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Hottovy, Laura @ Investor Relations</dc:creator>
  <cp:lastModifiedBy>WksAdmin</cp:lastModifiedBy>
  <cp:lastPrinted>2019-05-06T15:21:16Z</cp:lastPrinted>
  <dcterms:created xsi:type="dcterms:W3CDTF">2017-08-11T21:17:16Z</dcterms:created>
  <dcterms:modified xsi:type="dcterms:W3CDTF">2019-05-29T20:48:45Z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fdsSearchOrder">
    <vt:i4>0</vt:i4>
  </property>
</Properties>
</file>