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jameshardie-my.sharepoint.com/personal/james_brennan-chong_jameshardie_com_au/Documents/Desktop/Q2 upload/New folder/"/>
    </mc:Choice>
  </mc:AlternateContent>
  <xr:revisionPtr revIDLastSave="2" documentId="13_ncr:1_{C143F6F2-8EC8-46BE-83BB-16B10E52E33E}" xr6:coauthVersionLast="46" xr6:coauthVersionMax="46" xr10:uidLastSave="{4EDA4893-8BF7-4ED7-8585-E9D788FEA671}"/>
  <bookViews>
    <workbookView xWindow="-10965" yWindow="-20100" windowWidth="43200" windowHeight="17235"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67" i="44" l="1"/>
  <c r="AD69" i="44" l="1"/>
  <c r="AD68" i="44"/>
  <c r="E69" i="44" l="1"/>
  <c r="F69" i="44" s="1"/>
  <c r="G69" i="44" s="1"/>
  <c r="E68" i="44"/>
  <c r="F68" i="44" s="1"/>
  <c r="G68" i="44" s="1"/>
  <c r="E67" i="44"/>
  <c r="F67" i="44" s="1"/>
  <c r="G67" i="44" s="1"/>
  <c r="J69" i="44" l="1"/>
  <c r="K69" i="44" s="1"/>
  <c r="I67" i="44"/>
  <c r="J67" i="44" s="1"/>
  <c r="K67" i="44" l="1"/>
  <c r="I68" i="44"/>
  <c r="J68" i="44" l="1"/>
  <c r="K68" i="44" s="1"/>
  <c r="L69" i="44" l="1"/>
  <c r="M69" i="44" s="1"/>
  <c r="L68" i="44"/>
  <c r="M68" i="44" s="1"/>
  <c r="L67" i="44"/>
  <c r="M67" i="44" s="1"/>
  <c r="O69" i="44"/>
  <c r="P69" i="44" s="1"/>
  <c r="Q69" i="44" s="1"/>
  <c r="R69" i="44" s="1"/>
  <c r="O68" i="44"/>
  <c r="P68" i="44" s="1"/>
  <c r="Q68" i="44" s="1"/>
  <c r="R68" i="44" s="1"/>
  <c r="O67" i="44"/>
  <c r="T69" i="44"/>
  <c r="T68" i="44"/>
  <c r="U68" i="44" s="1"/>
  <c r="T67" i="44"/>
  <c r="Y69" i="44"/>
  <c r="Z69" i="44" s="1"/>
  <c r="Y68" i="44"/>
  <c r="Z68" i="44" s="1"/>
  <c r="Y67" i="44"/>
  <c r="AE68" i="44"/>
  <c r="AE67" i="44"/>
  <c r="AE69" i="44"/>
  <c r="V68" i="44" l="1"/>
  <c r="W68" i="44" s="1"/>
  <c r="AA68" i="44"/>
  <c r="AB68" i="44" s="1"/>
  <c r="U69" i="44"/>
  <c r="V69" i="44" s="1"/>
  <c r="Z67" i="44"/>
  <c r="AA67" i="44" s="1"/>
  <c r="AA69" i="44"/>
  <c r="AB69" i="44" s="1"/>
  <c r="P67" i="44"/>
  <c r="Q67" i="44" s="1"/>
  <c r="R67" i="44" s="1"/>
  <c r="U67" i="44"/>
  <c r="V67" i="44" s="1"/>
  <c r="AD64" i="44"/>
  <c r="AD54" i="44"/>
  <c r="AD45" i="44"/>
  <c r="AD44" i="44"/>
  <c r="AD39" i="44"/>
  <c r="AD63" i="44" s="1"/>
  <c r="AE63" i="44" s="1"/>
  <c r="AD38" i="44"/>
  <c r="AD62" i="44" s="1"/>
  <c r="AD37" i="44"/>
  <c r="AD36" i="44"/>
  <c r="AD35" i="44"/>
  <c r="AD32" i="44"/>
  <c r="AD15" i="44"/>
  <c r="AE71" i="44"/>
  <c r="AE60" i="44"/>
  <c r="AE59" i="44"/>
  <c r="AE49" i="44"/>
  <c r="AE50" i="44"/>
  <c r="AE51" i="44"/>
  <c r="AE52" i="44"/>
  <c r="AE53" i="44"/>
  <c r="AE31" i="44"/>
  <c r="AE30" i="44"/>
  <c r="AE29" i="44"/>
  <c r="AE28" i="44"/>
  <c r="AE27" i="44"/>
  <c r="AE26" i="44"/>
  <c r="AE25" i="44"/>
  <c r="AE24" i="44"/>
  <c r="AE23" i="44"/>
  <c r="AE22" i="44"/>
  <c r="AE21" i="44"/>
  <c r="AE20" i="44"/>
  <c r="AE44" i="44" s="1"/>
  <c r="AE17" i="44"/>
  <c r="AE14" i="44"/>
  <c r="AE13" i="44"/>
  <c r="AE12" i="44"/>
  <c r="AE11" i="44"/>
  <c r="AE8" i="44"/>
  <c r="AE7" i="44"/>
  <c r="AE6" i="44"/>
  <c r="AE39" i="44" l="1"/>
  <c r="AD40" i="44"/>
  <c r="AD42" i="44" s="1"/>
  <c r="AD58" i="44"/>
  <c r="AB67" i="44"/>
  <c r="AE54" i="44"/>
  <c r="AE46" i="44"/>
  <c r="AE15" i="44"/>
  <c r="AE32" i="44"/>
  <c r="AD56" i="44"/>
  <c r="W67" i="44"/>
  <c r="W69" i="44"/>
  <c r="AD61" i="44"/>
  <c r="AE61" i="44" s="1"/>
  <c r="R49" i="44"/>
  <c r="AD65" i="44" l="1"/>
  <c r="AC48" i="44"/>
  <c r="AE48" i="44" s="1"/>
  <c r="AC64" i="44"/>
  <c r="AE64" i="44" s="1"/>
  <c r="AC54" i="44"/>
  <c r="AC46" i="44"/>
  <c r="AC45" i="44"/>
  <c r="AC44" i="44"/>
  <c r="AC38" i="44"/>
  <c r="AC37" i="44"/>
  <c r="AE37" i="44" s="1"/>
  <c r="AC36" i="44"/>
  <c r="AE36" i="44" s="1"/>
  <c r="AC35" i="44"/>
  <c r="AC32" i="44"/>
  <c r="AC15" i="44"/>
  <c r="AC58" i="44" l="1"/>
  <c r="AE58" i="44" s="1"/>
  <c r="AE35" i="44"/>
  <c r="AC62" i="44"/>
  <c r="AE62" i="44" s="1"/>
  <c r="AE38" i="44"/>
  <c r="AC56" i="44"/>
  <c r="AC40" i="44"/>
  <c r="AC42" i="44" s="1"/>
  <c r="L65" i="44"/>
  <c r="K65" i="44"/>
  <c r="J65" i="44"/>
  <c r="I65" i="44"/>
  <c r="M60" i="44"/>
  <c r="M65" i="44" s="1"/>
  <c r="R60" i="44"/>
  <c r="AE40" i="44" l="1"/>
  <c r="AE42" i="44" s="1"/>
  <c r="AC65" i="44"/>
  <c r="AE56" i="44"/>
  <c r="AE65" i="44" s="1"/>
  <c r="AB49" i="44"/>
  <c r="AA54" i="44"/>
  <c r="AA64" i="44" l="1"/>
  <c r="AA46" i="44"/>
  <c r="AA45" i="44"/>
  <c r="AA44" i="44"/>
  <c r="AA39" i="44"/>
  <c r="AA38" i="44"/>
  <c r="AA62" i="44" s="1"/>
  <c r="AA37" i="44"/>
  <c r="AA36" i="44"/>
  <c r="AA35" i="44"/>
  <c r="AA32" i="44"/>
  <c r="AA56" i="44" s="1"/>
  <c r="AA15" i="44"/>
  <c r="AB71" i="44"/>
  <c r="AB59" i="44"/>
  <c r="AB53" i="44"/>
  <c r="AB52" i="44"/>
  <c r="AB50" i="44"/>
  <c r="AB48" i="44"/>
  <c r="AB31" i="44"/>
  <c r="AB30" i="44"/>
  <c r="AB29" i="44"/>
  <c r="AB28" i="44"/>
  <c r="AB21" i="44"/>
  <c r="AB22" i="44"/>
  <c r="AB23" i="44"/>
  <c r="AB24" i="44"/>
  <c r="AB25" i="44"/>
  <c r="AB26" i="44"/>
  <c r="AB20" i="44"/>
  <c r="AB17" i="44"/>
  <c r="AB14" i="44"/>
  <c r="AB13" i="44"/>
  <c r="AB12" i="44"/>
  <c r="AB11" i="44"/>
  <c r="AB8" i="44"/>
  <c r="AB7" i="44"/>
  <c r="AA58" i="44" l="1"/>
  <c r="AA61" i="44"/>
  <c r="AA63" i="44"/>
  <c r="AA40" i="44"/>
  <c r="AA42" i="44" s="1"/>
  <c r="AA65" i="44" l="1"/>
  <c r="Y64" i="44" l="1"/>
  <c r="Y54" i="44"/>
  <c r="Y46" i="44"/>
  <c r="Y45" i="44"/>
  <c r="Y44" i="44"/>
  <c r="Y39" i="44"/>
  <c r="Y38" i="44"/>
  <c r="Y62" i="44" s="1"/>
  <c r="Y37" i="44"/>
  <c r="Y61" i="44" s="1"/>
  <c r="Y36" i="44"/>
  <c r="Y35" i="44"/>
  <c r="Y32" i="44"/>
  <c r="Y15" i="44"/>
  <c r="Y63" i="44" l="1"/>
  <c r="Y58" i="44"/>
  <c r="Y40" i="44"/>
  <c r="Y42" i="44" s="1"/>
  <c r="Y56" i="44"/>
  <c r="Z64" i="44"/>
  <c r="Z54" i="44"/>
  <c r="Z46" i="44"/>
  <c r="Z45" i="44"/>
  <c r="Z44" i="44"/>
  <c r="Z39" i="44"/>
  <c r="Z63" i="44" s="1"/>
  <c r="Z38" i="44"/>
  <c r="Z62" i="44" s="1"/>
  <c r="Z37" i="44"/>
  <c r="Z36" i="44"/>
  <c r="Z35" i="44"/>
  <c r="Z32" i="44"/>
  <c r="Z56" i="44" s="1"/>
  <c r="Z15" i="44"/>
  <c r="AB39" i="44" l="1"/>
  <c r="AB63" i="44"/>
  <c r="Y65" i="44"/>
  <c r="AB54" i="44"/>
  <c r="Z61" i="44"/>
  <c r="AB61" i="44" s="1"/>
  <c r="Z58" i="44"/>
  <c r="AB46" i="44"/>
  <c r="AB32" i="44"/>
  <c r="AB45" i="44"/>
  <c r="AB15" i="44"/>
  <c r="AB44" i="44"/>
  <c r="Z40" i="44"/>
  <c r="Z42" i="44" s="1"/>
  <c r="X38" i="44"/>
  <c r="AB38" i="44" s="1"/>
  <c r="B38" i="44"/>
  <c r="B62" i="44" s="1"/>
  <c r="S38" i="44"/>
  <c r="T38" i="44"/>
  <c r="U38" i="44"/>
  <c r="V38" i="44"/>
  <c r="V62" i="44" s="1"/>
  <c r="W62" i="44" s="1"/>
  <c r="W26" i="44"/>
  <c r="X62" i="44" l="1"/>
  <c r="AB62" i="44" s="1"/>
  <c r="Z65" i="44"/>
  <c r="W38" i="44"/>
  <c r="X64" i="44"/>
  <c r="AB64" i="44" s="1"/>
  <c r="X54" i="44"/>
  <c r="X45" i="44"/>
  <c r="X44" i="44"/>
  <c r="X37" i="44"/>
  <c r="AB37" i="44" s="1"/>
  <c r="X36" i="44"/>
  <c r="AB36" i="44" s="1"/>
  <c r="X35" i="44"/>
  <c r="AB35" i="44" s="1"/>
  <c r="X32" i="44"/>
  <c r="X56" i="44" s="1"/>
  <c r="AB56" i="44" s="1"/>
  <c r="X15" i="44"/>
  <c r="AB40" i="44" l="1"/>
  <c r="AB42" i="44" s="1"/>
  <c r="X58" i="44"/>
  <c r="AB58" i="44" s="1"/>
  <c r="X40" i="44"/>
  <c r="X42" i="44" s="1"/>
  <c r="X46" i="44"/>
  <c r="X65" i="44" l="1"/>
  <c r="AB65" i="44"/>
  <c r="V39" i="44"/>
  <c r="V64" i="44" l="1"/>
  <c r="V63" i="44"/>
  <c r="W63" i="44" s="1"/>
  <c r="V44" i="44"/>
  <c r="V45" i="44"/>
  <c r="V46" i="44"/>
  <c r="V54" i="44"/>
  <c r="V35" i="44"/>
  <c r="V36" i="44"/>
  <c r="V37" i="44"/>
  <c r="V61" i="44" s="1"/>
  <c r="V32" i="44"/>
  <c r="V56" i="44" s="1"/>
  <c r="W56" i="44" s="1"/>
  <c r="V15" i="44"/>
  <c r="W71" i="44"/>
  <c r="W59" i="44"/>
  <c r="W53" i="44"/>
  <c r="W52" i="44"/>
  <c r="W50" i="44"/>
  <c r="W48" i="44"/>
  <c r="W39" i="44"/>
  <c r="W31" i="44"/>
  <c r="W30" i="44"/>
  <c r="W29" i="44"/>
  <c r="W28" i="44"/>
  <c r="W25" i="44"/>
  <c r="W24" i="44"/>
  <c r="W23" i="44"/>
  <c r="W22" i="44"/>
  <c r="W21" i="44"/>
  <c r="W20" i="44"/>
  <c r="W17" i="44"/>
  <c r="W14" i="44"/>
  <c r="W12" i="44"/>
  <c r="W11" i="44"/>
  <c r="W8" i="44"/>
  <c r="W7" i="44"/>
  <c r="W6" i="44"/>
  <c r="V58" i="44" l="1"/>
  <c r="V65" i="44" s="1"/>
  <c r="W61" i="44"/>
  <c r="V40" i="44"/>
  <c r="V42" i="44" s="1"/>
  <c r="U45" i="44"/>
  <c r="U44" i="44"/>
  <c r="U46" i="44"/>
  <c r="U37" i="44"/>
  <c r="U36" i="44"/>
  <c r="U35" i="44"/>
  <c r="U64" i="44"/>
  <c r="U54" i="44"/>
  <c r="U32" i="44"/>
  <c r="U15" i="44"/>
  <c r="U58" i="44" l="1"/>
  <c r="U65" i="44" s="1"/>
  <c r="U40" i="44"/>
  <c r="U42" i="44" s="1"/>
  <c r="T64" i="44"/>
  <c r="W45" i="44"/>
  <c r="W44" i="44"/>
  <c r="T37" i="44"/>
  <c r="T36" i="44"/>
  <c r="T35" i="44"/>
  <c r="T58" i="44" l="1"/>
  <c r="T65" i="44" s="1"/>
  <c r="T54" i="44"/>
  <c r="T32" i="44"/>
  <c r="T40" i="44" s="1"/>
  <c r="T15" i="44"/>
  <c r="T42" i="44" l="1"/>
  <c r="W54" i="44"/>
  <c r="W32" i="44"/>
  <c r="S64" i="44"/>
  <c r="W64" i="44" s="1"/>
  <c r="S13" i="44"/>
  <c r="S46" i="44" s="1"/>
  <c r="S54" i="44"/>
  <c r="S45" i="44"/>
  <c r="S44" i="44"/>
  <c r="S37" i="44"/>
  <c r="W37" i="44" s="1"/>
  <c r="S36" i="44"/>
  <c r="W36" i="44" s="1"/>
  <c r="S35" i="44"/>
  <c r="W35" i="44" s="1"/>
  <c r="S32" i="44"/>
  <c r="W49" i="44" l="1"/>
  <c r="S15" i="44"/>
  <c r="W13" i="44"/>
  <c r="W15" i="44" s="1"/>
  <c r="W40" i="44"/>
  <c r="S40" i="44"/>
  <c r="S58" i="44"/>
  <c r="W58" i="44" s="1"/>
  <c r="Q58" i="44"/>
  <c r="Q65" i="44" s="1"/>
  <c r="Q46" i="44"/>
  <c r="Q45" i="44"/>
  <c r="Q44" i="44"/>
  <c r="Q54" i="44"/>
  <c r="Q15" i="44"/>
  <c r="Q32" i="44"/>
  <c r="Q40" i="44" s="1"/>
  <c r="R6" i="44"/>
  <c r="S42" i="44" l="1"/>
  <c r="W42" i="44"/>
  <c r="Q42" i="44"/>
  <c r="W46" i="44"/>
  <c r="W65" i="44"/>
  <c r="S65" i="44"/>
  <c r="R71" i="44"/>
  <c r="R59" i="44"/>
  <c r="R56" i="44"/>
  <c r="R53" i="44"/>
  <c r="R52" i="44"/>
  <c r="R50" i="44"/>
  <c r="R31" i="44"/>
  <c r="R30" i="44"/>
  <c r="R29" i="44"/>
  <c r="R28" i="44"/>
  <c r="R25" i="44"/>
  <c r="R24" i="44"/>
  <c r="R23" i="44"/>
  <c r="R22" i="44"/>
  <c r="R21" i="44"/>
  <c r="R20" i="44"/>
  <c r="R17" i="44"/>
  <c r="R14" i="44"/>
  <c r="R13" i="44"/>
  <c r="R12" i="44"/>
  <c r="R11" i="44"/>
  <c r="R8" i="44"/>
  <c r="R7" i="44"/>
  <c r="P64" i="44" l="1"/>
  <c r="P54" i="44"/>
  <c r="P48" i="44"/>
  <c r="P46" i="44"/>
  <c r="P45" i="44"/>
  <c r="P44" i="44"/>
  <c r="P15" i="44"/>
  <c r="P39" i="44"/>
  <c r="P63" i="44" s="1"/>
  <c r="O39" i="44"/>
  <c r="P36" i="44"/>
  <c r="P35" i="44"/>
  <c r="P32" i="44"/>
  <c r="P58" i="44" l="1"/>
  <c r="P65" i="44" s="1"/>
  <c r="R39" i="44"/>
  <c r="P40" i="44"/>
  <c r="P42" i="44" s="1"/>
  <c r="O63" i="44" l="1"/>
  <c r="R63" i="44" s="1"/>
  <c r="O64" i="44"/>
  <c r="R64" i="44" s="1"/>
  <c r="O48" i="44"/>
  <c r="R48" i="44" s="1"/>
  <c r="O36" i="44"/>
  <c r="O35" i="44"/>
  <c r="O58" i="44" l="1"/>
  <c r="O54" i="44"/>
  <c r="O46" i="44"/>
  <c r="O45" i="44"/>
  <c r="O44" i="44"/>
  <c r="O32" i="44"/>
  <c r="O15" i="44"/>
  <c r="O40" i="44" l="1"/>
  <c r="O42" i="44" s="1"/>
  <c r="O65" i="44"/>
  <c r="R45" i="44"/>
  <c r="R44" i="44"/>
  <c r="R54" i="44"/>
  <c r="R46" i="44"/>
  <c r="N46" i="44"/>
  <c r="N45" i="44"/>
  <c r="N44" i="44"/>
  <c r="N36" i="44" l="1"/>
  <c r="R36" i="44" s="1"/>
  <c r="N35" i="44"/>
  <c r="R35" i="44" s="1"/>
  <c r="N54" i="44"/>
  <c r="N32" i="44"/>
  <c r="R32" i="44" s="1"/>
  <c r="N15" i="44"/>
  <c r="R15" i="44" s="1"/>
  <c r="R40" i="44" l="1"/>
  <c r="R42" i="44" s="1"/>
  <c r="N58" i="44"/>
  <c r="R58" i="44" s="1"/>
  <c r="N40" i="44"/>
  <c r="N42" i="44" s="1"/>
  <c r="M28" i="44"/>
  <c r="R65" i="44" l="1"/>
  <c r="N65" i="44"/>
  <c r="B13" i="44"/>
  <c r="B22" i="44" s="1"/>
  <c r="B12" i="44"/>
  <c r="B21" i="44" s="1"/>
  <c r="AB6" i="44"/>
</calcChain>
</file>

<file path=xl/sharedStrings.xml><?xml version="1.0" encoding="utf-8"?>
<sst xmlns="http://schemas.openxmlformats.org/spreadsheetml/2006/main" count="116" uniqueCount="89">
  <si>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</si>
  <si>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</si>
  <si>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</si>
  <si>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</si>
  <si>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</si>
  <si>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</si>
  <si>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</si>
  <si>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</si>
  <si>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</si>
  <si>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</si>
  <si>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</si>
  <si>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</si>
  <si>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</si>
  <si>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</si>
  <si>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</si>
  <si>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</si>
  <si>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</si>
  <si>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</si>
  <si>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</si>
  <si>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</si>
  <si>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</si>
  <si>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</si>
  <si>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</si>
  <si>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</si>
  <si>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</si>
  <si>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</si>
  <si>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</si>
  <si>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</si>
  <si>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</si>
  <si>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</si>
  <si>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</si>
  <si>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</si>
  <si>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</si>
  <si>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</si>
  <si>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Fermacell acquisition costs</t>
  </si>
  <si>
    <t>Asia Pacific Fiber Cement</t>
  </si>
  <si>
    <t>Europe Building Products</t>
  </si>
  <si>
    <t>Adjusted EBIT Margin - North America Fiber Cement</t>
  </si>
  <si>
    <t>Adjusted EBIT Margin - Asia Pacific Fiber Cement</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</si>
  <si>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</si>
  <si>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</si>
  <si>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</si>
  <si>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</si>
  <si>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</si>
  <si>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</si>
  <si>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</si>
  <si>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</si>
  <si>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</si>
  <si>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</si>
  <si>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</si>
  <si>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</si>
  <si>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</si>
  <si>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</si>
  <si>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</si>
  <si>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</si>
  <si>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</si>
  <si>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Net interest expense</t>
  </si>
  <si>
    <t>Q3 FY2020</t>
  </si>
  <si>
    <t>Q4 FY2020</t>
  </si>
  <si>
    <t>Asset impairment charges and product line discontinuation expenses</t>
  </si>
  <si>
    <t>FY20 excludes asset impairment charges and includes Fermacell integration costs</t>
  </si>
  <si>
    <t>Adjusted EBIT Margin - Europe Building Products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</si>
  <si>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</si>
  <si>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</si>
  <si>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</si>
  <si>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</si>
  <si>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</si>
  <si>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</si>
  <si>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</si>
  <si>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</si>
  <si>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</si>
  <si>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</si>
  <si>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</si>
  <si>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</si>
  <si>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</si>
  <si>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</si>
  <si>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</si>
  <si>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</si>
  <si>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</si>
  <si>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As the Company acquired the Fermacell business in Q1 FY19, total consolidated results do not include any results related to the Fermacell business in FY17 and FY18</t>
  </si>
  <si>
    <t>FY2022</t>
  </si>
  <si>
    <t>Q1 FY2022</t>
  </si>
  <si>
    <t>Asbestos related expenses and adjustments</t>
  </si>
  <si>
    <t>Adjusted net income</t>
  </si>
  <si>
    <t>Q2 FY2022</t>
  </si>
  <si>
    <t>FY22</t>
  </si>
  <si>
    <t>Net cash provided by (used in) operating activities</t>
  </si>
  <si>
    <t>Net cash (used in) provided by investing activities</t>
  </si>
  <si>
    <t>Net cash (used in) provided by financing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</si>
</sst>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 numFmtId="200"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88">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11" xfId="0" applyNumberFormat="1" applyFont="1" applyFill="1" applyBorder="1">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69" fontId="0" fillId="7" borderId="6" xfId="49" applyFont="1" applyFill="1" applyBorder="1" applyProtection="1">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0" xfId="0" applyFont="1" applyFill="1" applyAlignment="1">
      <alignment horizontal="center" wrapText="1"/>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4" xfId="0" applyNumberFormat="1" applyFont="1" applyFill="1" applyBorder="1">
      <protection locked="0"/>
    </xf>
    <xf numFmtId="183" fontId="0" fillId="7" borderId="15"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3" fontId="8" fillId="7" borderId="14" xfId="0" applyNumberFormat="1" applyFont="1" applyFill="1" applyBorder="1">
      <protection locked="0"/>
    </xf>
    <xf numFmtId="183" fontId="8" fillId="7" borderId="15"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3" fontId="0" fillId="7" borderId="13" xfId="18" applyFont="1" applyFill="1" applyBorder="1" applyProtection="1">
      <protection locked="0"/>
    </xf>
    <xf numFmtId="200" fontId="8" fillId="7" borderId="1" xfId="0" applyNumberFormat="1" applyFont="1" applyFill="1" applyBorder="1" applyAlignment="1">
      <alignment horizontal="center"/>
      <protection locked="0"/>
    </xf>
    <xf numFmtId="200" fontId="8" fillId="7" borderId="5" xfId="0" applyNumberFormat="1" applyFont="1" applyFill="1" applyBorder="1">
      <protection locked="0"/>
    </xf>
    <xf numFmtId="200" fontId="0" fillId="7" borderId="0" xfId="0" applyNumberFormat="1" applyFont="1" applyFill="1" applyBorder="1">
      <protection locked="0"/>
    </xf>
    <xf numFmtId="200" fontId="0" fillId="7" borderId="12" xfId="0" applyNumberFormat="1" applyFont="1" applyFill="1" applyBorder="1">
      <protection locked="0"/>
    </xf>
    <xf numFmtId="200" fontId="0" fillId="7" borderId="5" xfId="0" applyNumberFormat="1" applyFont="1" applyFill="1" applyBorder="1">
      <protection locked="0"/>
    </xf>
    <xf numFmtId="200" fontId="0" fillId="7" borderId="7" xfId="0" applyNumberFormat="1" applyFont="1" applyFill="1" applyBorder="1">
      <protection locked="0"/>
    </xf>
    <xf numFmtId="200" fontId="0" fillId="7" borderId="5" xfId="16" applyNumberFormat="1" applyFont="1" applyFill="1" applyBorder="1" applyProtection="1">
      <protection locked="0"/>
    </xf>
    <xf numFmtId="200" fontId="8" fillId="7" borderId="5" xfId="16" applyNumberFormat="1" applyFont="1" applyFill="1" applyBorder="1" applyProtection="1">
      <protection locked="0"/>
    </xf>
    <xf numFmtId="200" fontId="8" fillId="7" borderId="14" xfId="0" applyNumberFormat="1" applyFont="1" applyFill="1" applyBorder="1">
      <protection locked="0"/>
    </xf>
    <xf numFmtId="200" fontId="0" fillId="7" borderId="7" xfId="18" applyNumberFormat="1" applyFont="1" applyFill="1" applyBorder="1" applyProtection="1">
      <protection locked="0"/>
    </xf>
    <xf numFmtId="200" fontId="0" fillId="7" borderId="8" xfId="0" applyNumberFormat="1" applyFont="1" applyFill="1" applyBorder="1">
      <protection locked="0"/>
    </xf>
    <xf numFmtId="200" fontId="0" fillId="7" borderId="13" xfId="0" applyNumberFormat="1" applyFont="1" applyFill="1" applyBorder="1">
      <protection locked="0"/>
    </xf>
    <xf numFmtId="200" fontId="0" fillId="7" borderId="0" xfId="0" applyNumberFormat="1" applyFont="1" applyFill="1">
      <protection locked="0"/>
    </xf>
    <xf numFmtId="200" fontId="8" fillId="7" borderId="0" xfId="0" applyNumberFormat="1" applyFont="1" applyFill="1" applyBorder="1" applyAlignment="1">
      <alignment horizontal="center"/>
      <protection locked="0"/>
    </xf>
    <xf numFmtId="200" fontId="8" fillId="7" borderId="7" xfId="0" applyNumberFormat="1" applyFont="1" applyFill="1" applyBorder="1" applyAlignment="1">
      <alignment horizontal="center"/>
      <protection locked="0"/>
    </xf>
    <xf numFmtId="197" fontId="0" fillId="7" borderId="12" xfId="0" applyNumberFormat="1" applyFont="1" applyFill="1" applyBorder="1" applyAlignment="1">
      <alignment horizontal="center"/>
      <protection locked="0"/>
    </xf>
    <xf numFmtId="170" fontId="0" fillId="7" borderId="8" xfId="0" applyFont="1" applyFill="1" applyBorder="1" applyAlignment="1">
      <alignment horizontal="center"/>
      <protection locked="0"/>
    </xf>
    <xf numFmtId="170" fontId="8" fillId="7" borderId="8" xfId="0" applyFont="1" applyFill="1" applyBorder="1" applyAlignment="1">
      <alignment horizontal="center" wrapText="1"/>
      <protection locked="0"/>
    </xf>
    <xf numFmtId="182" fontId="0" fillId="7" borderId="7" xfId="16" applyNumberFormat="1" applyFont="1" applyFill="1" applyBorder="1" applyAlignment="1" applyProtection="1">
      <alignment horizontal="right"/>
      <protection locked="0"/>
    </xf>
    <xf numFmtId="200" fontId="0" fillId="7" borderId="7" xfId="16" applyNumberFormat="1" applyFont="1" applyFill="1" applyBorder="1" applyAlignment="1" applyProtection="1">
      <alignment horizontal="right"/>
      <protection locked="0"/>
    </xf>
    <xf numFmtId="170" fontId="0" fillId="0" borderId="0" xfId="0" applyFont="1" applyFill="1">
      <protection locked="0"/>
    </xf>
    <xf numFmtId="170" fontId="0" fillId="0" borderId="0" xfId="0" applyFont="1" applyFill="1" applyAlignment="1">
      <alignment horizontal="left" indent="2"/>
      <protection locked="0"/>
    </xf>
    <xf numFmtId="182" fontId="0" fillId="0" borderId="5" xfId="16" applyNumberFormat="1" applyFont="1" applyFill="1" applyBorder="1" applyProtection="1">
      <protection locked="0"/>
    </xf>
    <xf numFmtId="182" fontId="0" fillId="0" borderId="0" xfId="16" applyNumberFormat="1" applyFont="1" applyFill="1" applyBorder="1" applyProtection="1">
      <protection locked="0"/>
    </xf>
    <xf numFmtId="182" fontId="0" fillId="0" borderId="6" xfId="16" applyNumberFormat="1" applyFont="1" applyFill="1" applyBorder="1" applyProtection="1">
      <protection locked="0"/>
    </xf>
    <xf numFmtId="182" fontId="0" fillId="0" borderId="12" xfId="16" applyNumberFormat="1" applyFont="1" applyFill="1" applyBorder="1" applyProtection="1">
      <protection locked="0"/>
    </xf>
    <xf numFmtId="170" fontId="6" fillId="0" borderId="0" xfId="0" applyFont="1" applyFill="1">
      <protection locked="0"/>
    </xf>
    <xf numFmtId="200" fontId="0" fillId="0" borderId="5" xfId="0" applyNumberFormat="1" applyFont="1" applyFill="1" applyBorder="1">
      <protection locked="0"/>
    </xf>
    <xf numFmtId="200" fontId="0" fillId="0" borderId="0" xfId="0" applyNumberFormat="1" applyFont="1" applyFill="1" applyBorder="1">
      <protection locked="0"/>
    </xf>
    <xf numFmtId="200" fontId="0" fillId="0" borderId="12" xfId="0" applyNumberFormat="1" applyFont="1" applyFill="1" applyBorder="1">
      <protection locked="0"/>
    </xf>
    <xf numFmtId="200" fontId="8" fillId="7" borderId="16" xfId="0" applyNumberFormat="1" applyFont="1" applyFill="1" applyBorder="1">
      <protection locked="0"/>
    </xf>
    <xf numFmtId="200" fontId="8" fillId="7" borderId="12" xfId="0" applyNumberFormat="1" applyFont="1" applyFill="1" applyBorder="1">
      <protection locked="0"/>
    </xf>
    <xf numFmtId="200" fontId="0" fillId="7" borderId="12" xfId="16" applyNumberFormat="1" applyFont="1" applyFill="1" applyBorder="1" applyProtection="1">
      <protection locked="0"/>
    </xf>
    <xf numFmtId="200" fontId="8" fillId="7" borderId="12" xfId="16" applyNumberFormat="1" applyFont="1" applyFill="1" applyBorder="1" applyProtection="1">
      <protection locked="0"/>
    </xf>
    <xf numFmtId="200" fontId="0" fillId="7" borderId="13" xfId="18" applyNumberFormat="1" applyFont="1" applyFill="1" applyBorder="1" applyProtection="1">
      <protection locked="0"/>
    </xf>
    <xf numFmtId="200" fontId="8" fillId="7" borderId="13" xfId="0" applyNumberFormat="1" applyFont="1" applyFill="1" applyBorder="1" applyAlignment="1">
      <alignment horizontal="center"/>
      <protection locked="0"/>
    </xf>
    <xf numFmtId="182" fontId="0" fillId="0" borderId="5" xfId="0" applyNumberFormat="1" applyFont="1" applyFill="1" applyBorder="1">
      <protection locked="0"/>
    </xf>
    <xf numFmtId="182" fontId="0" fillId="0" borderId="7" xfId="16" applyNumberFormat="1" applyFont="1" applyFill="1" applyBorder="1" applyProtection="1">
      <protection locked="0"/>
    </xf>
    <xf numFmtId="182" fontId="0" fillId="0" borderId="8" xfId="16" applyNumberFormat="1" applyFont="1" applyFill="1" applyBorder="1" applyProtection="1">
      <protection locked="0"/>
    </xf>
    <xf numFmtId="170" fontId="8" fillId="0" borderId="0" xfId="0" applyFont="1" applyFill="1" applyAlignment="1">
      <alignment horizontal="left" wrapText="1"/>
      <protection locked="0"/>
    </xf>
    <xf numFmtId="170" fontId="8" fillId="0" borderId="8" xfId="0" applyFont="1" applyFill="1" applyBorder="1" applyAlignment="1">
      <alignment horizontal="left" wrapText="1"/>
      <protection locked="0"/>
    </xf>
    <xf numFmtId="182" fontId="0" fillId="0" borderId="13" xfId="16" applyNumberFormat="1" applyFont="1" applyFill="1" applyBorder="1" applyProtection="1">
      <protection locked="0"/>
    </xf>
    <xf numFmtId="4" fontId="0" fillId="7" borderId="0" xfId="0" applyNumberFormat="1" applyFont="1" applyFill="1">
      <protection locked="0"/>
    </xf>
    <xf numFmtId="169" fontId="0" fillId="0" borderId="0" xfId="49" applyFont="1" applyFill="1" applyBorder="1" applyProtection="1">
      <protection locked="0"/>
    </xf>
    <xf numFmtId="169" fontId="0" fillId="0" borderId="12" xfId="49" applyFont="1" applyFill="1" applyBorder="1" applyProtection="1">
      <protection locked="0"/>
    </xf>
    <xf numFmtId="4" fontId="6" fillId="7" borderId="0" xfId="0" applyNumberFormat="1" applyFont="1" applyFill="1">
      <protection locked="0"/>
    </xf>
    <xf numFmtId="170" fontId="8" fillId="7" borderId="9"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200" fontId="8" fillId="7" borderId="9" xfId="0" applyNumberFormat="1" applyFont="1" applyFill="1" applyBorder="1" applyAlignment="1">
      <alignment horizontal="center" wrapText="1"/>
      <protection locked="0"/>
    </xf>
    <xf numFmtId="200" fontId="8" fillId="7" borderId="4" xfId="0" applyNumberFormat="1" applyFont="1" applyFill="1" applyBorder="1" applyAlignment="1">
      <alignment horizontal="center" wrapText="1"/>
      <protection locked="0"/>
    </xf>
    <xf numFmtId="200" fontId="8" fillId="7" borderId="10" xfId="0" applyNumberFormat="1" applyFont="1" applyFill="1" applyBorder="1" applyAlignment="1">
      <alignment horizontal="center" wrapText="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G80"/>
  <sheetViews>
    <sheetView showGridLines="0" tabSelected="1" zoomScale="80" zoomScaleNormal="80" workbookViewId="0">
      <pane xSplit="3" ySplit="3" topLeftCell="H4" activePane="bottomRight" state="frozen"/>
      <selection pane="topRight" activeCell="E1" sqref="E1"/>
      <selection pane="bottomLeft" activeCell="A4" sqref="A4"/>
      <selection pane="bottomRight" activeCell="AI66" sqref="AI66"/>
    </sheetView>
  </sheetViews>
  <sheetFormatPr defaultColWidth="9" defaultRowHeight="14.25"/>
  <cols>
    <col min="1" max="1" width="1.5" style="1" customWidth="1"/>
    <col min="2" max="2" width="59.875" style="1" customWidth="1"/>
    <col min="3" max="3" width="11.5" style="1" customWidth="1"/>
    <col min="4" max="18" width="14.5" style="1" customWidth="1"/>
    <col min="19" max="30" width="14.5" style="144" customWidth="1"/>
    <col min="31" max="31" width="14.625" style="1" customWidth="1"/>
    <col min="32" max="16384" width="9" style="1"/>
  </cols>
  <sheetData>
    <row r="2" spans="1:31" s="21" customFormat="1" ht="15">
      <c r="D2" s="184" t="s">
        <v>27</v>
      </c>
      <c r="E2" s="185"/>
      <c r="F2" s="185"/>
      <c r="G2" s="185"/>
      <c r="H2" s="186"/>
      <c r="I2" s="184" t="s">
        <v>28</v>
      </c>
      <c r="J2" s="185"/>
      <c r="K2" s="185"/>
      <c r="L2" s="185"/>
      <c r="M2" s="186"/>
      <c r="N2" s="184" t="s">
        <v>42</v>
      </c>
      <c r="O2" s="185"/>
      <c r="P2" s="185"/>
      <c r="Q2" s="185"/>
      <c r="R2" s="186"/>
      <c r="S2" s="181" t="s">
        <v>50</v>
      </c>
      <c r="T2" s="182"/>
      <c r="U2" s="182"/>
      <c r="V2" s="182"/>
      <c r="W2" s="183"/>
      <c r="X2" s="181" t="s">
        <v>62</v>
      </c>
      <c r="Y2" s="182"/>
      <c r="Z2" s="182"/>
      <c r="AA2" s="182"/>
      <c r="AB2" s="183"/>
      <c r="AC2" s="178" t="s">
        <v>80</v>
      </c>
      <c r="AD2" s="179"/>
      <c r="AE2" s="180"/>
    </row>
    <row r="3" spans="1:31" s="49" customFormat="1" ht="15">
      <c r="B3" s="50" t="s">
        <v>41</v>
      </c>
      <c r="C3" s="51" t="s">
        <v>16</v>
      </c>
      <c r="D3" s="14" t="s">
        <v>21</v>
      </c>
      <c r="E3" s="52" t="s">
        <v>24</v>
      </c>
      <c r="F3" s="52" t="s">
        <v>25</v>
      </c>
      <c r="G3" s="53" t="s">
        <v>26</v>
      </c>
      <c r="H3" s="52" t="s">
        <v>39</v>
      </c>
      <c r="I3" s="14" t="s">
        <v>29</v>
      </c>
      <c r="J3" s="52" t="s">
        <v>30</v>
      </c>
      <c r="K3" s="52" t="s">
        <v>31</v>
      </c>
      <c r="L3" s="53" t="s">
        <v>32</v>
      </c>
      <c r="M3" s="53" t="s">
        <v>40</v>
      </c>
      <c r="N3" s="95" t="s">
        <v>43</v>
      </c>
      <c r="O3" s="96" t="s">
        <v>44</v>
      </c>
      <c r="P3" s="96" t="s">
        <v>47</v>
      </c>
      <c r="Q3" s="96" t="s">
        <v>49</v>
      </c>
      <c r="R3" s="90" t="s">
        <v>45</v>
      </c>
      <c r="S3" s="146" t="s">
        <v>51</v>
      </c>
      <c r="T3" s="145" t="s">
        <v>52</v>
      </c>
      <c r="U3" s="145" t="s">
        <v>57</v>
      </c>
      <c r="V3" s="145" t="s">
        <v>58</v>
      </c>
      <c r="W3" s="132" t="s">
        <v>53</v>
      </c>
      <c r="X3" s="146" t="s">
        <v>63</v>
      </c>
      <c r="Y3" s="145" t="s">
        <v>70</v>
      </c>
      <c r="Z3" s="145" t="s">
        <v>72</v>
      </c>
      <c r="AA3" s="145" t="s">
        <v>73</v>
      </c>
      <c r="AB3" s="132" t="s">
        <v>71</v>
      </c>
      <c r="AC3" s="146" t="s">
        <v>81</v>
      </c>
      <c r="AD3" s="145" t="s">
        <v>84</v>
      </c>
      <c r="AE3" s="167" t="s">
        <v>85</v>
      </c>
    </row>
    <row r="4" spans="1:31" s="21" customFormat="1" ht="15">
      <c r="A4" s="1"/>
      <c r="B4" s="1"/>
      <c r="C4" s="1"/>
      <c r="D4" s="15"/>
      <c r="E4" s="22"/>
      <c r="F4" s="22"/>
      <c r="G4" s="23"/>
      <c r="H4" s="22"/>
      <c r="I4" s="15"/>
      <c r="J4" s="11"/>
      <c r="K4" s="27"/>
      <c r="L4" s="28"/>
      <c r="M4" s="23"/>
      <c r="N4" s="15"/>
      <c r="O4" s="22"/>
      <c r="P4" s="22"/>
      <c r="Q4" s="22"/>
      <c r="R4" s="91"/>
      <c r="S4" s="133"/>
      <c r="T4" s="134"/>
      <c r="U4" s="134"/>
      <c r="V4" s="134"/>
      <c r="W4" s="135"/>
      <c r="X4" s="133"/>
      <c r="Y4" s="134"/>
      <c r="Z4" s="134"/>
      <c r="AA4" s="134"/>
      <c r="AB4" s="135"/>
      <c r="AC4" s="133"/>
      <c r="AD4" s="134"/>
      <c r="AE4" s="162"/>
    </row>
    <row r="5" spans="1:31" s="21" customFormat="1" ht="15">
      <c r="A5" s="1"/>
      <c r="B5" s="25" t="s">
        <v>6</v>
      </c>
      <c r="C5" s="26">
        <v>-1</v>
      </c>
      <c r="D5" s="15"/>
      <c r="E5" s="22"/>
      <c r="F5" s="22"/>
      <c r="G5" s="23"/>
      <c r="H5" s="22"/>
      <c r="I5" s="15"/>
      <c r="J5" s="11"/>
      <c r="K5" s="27"/>
      <c r="L5" s="28"/>
      <c r="M5" s="23"/>
      <c r="N5" s="15"/>
      <c r="O5" s="22"/>
      <c r="P5" s="22"/>
      <c r="Q5" s="22"/>
      <c r="R5" s="91"/>
      <c r="S5" s="133"/>
      <c r="T5" s="134"/>
      <c r="U5" s="134"/>
      <c r="V5" s="134"/>
      <c r="W5" s="135"/>
      <c r="X5" s="133"/>
      <c r="Y5" s="134"/>
      <c r="Z5" s="134"/>
      <c r="AA5" s="134"/>
      <c r="AB5" s="135"/>
      <c r="AC5" s="133"/>
      <c r="AD5" s="134"/>
      <c r="AE5" s="163"/>
    </row>
    <row r="6" spans="1:31" s="21" customFormat="1">
      <c r="A6" s="1"/>
      <c r="B6" s="19" t="s">
        <v>22</v>
      </c>
      <c r="C6" s="7"/>
      <c r="D6" s="54">
        <v>548.4</v>
      </c>
      <c r="E6" s="55">
        <v>571.70000000000005</v>
      </c>
      <c r="F6" s="55">
        <v>516.70000000000005</v>
      </c>
      <c r="G6" s="56">
        <v>578.6</v>
      </c>
      <c r="H6" s="55">
        <v>2215.4</v>
      </c>
      <c r="I6" s="54">
        <v>561.5</v>
      </c>
      <c r="J6" s="55">
        <v>561.6</v>
      </c>
      <c r="K6" s="55">
        <v>528.9</v>
      </c>
      <c r="L6" s="56">
        <v>586.79999999999995</v>
      </c>
      <c r="M6" s="56">
        <v>2238.8000000000002</v>
      </c>
      <c r="N6" s="54">
        <v>591</v>
      </c>
      <c r="O6" s="55">
        <v>591.70000000000005</v>
      </c>
      <c r="P6" s="55">
        <v>532.1</v>
      </c>
      <c r="Q6" s="55">
        <v>593.29999999999995</v>
      </c>
      <c r="R6" s="88">
        <f>SUM(N6:Q6)</f>
        <v>2308.1000000000004</v>
      </c>
      <c r="S6" s="136">
        <v>612.70000000000005</v>
      </c>
      <c r="T6" s="134">
        <v>620.9</v>
      </c>
      <c r="U6" s="134">
        <v>593</v>
      </c>
      <c r="V6" s="134">
        <v>655</v>
      </c>
      <c r="W6" s="135">
        <f>SUM(S6:V6)</f>
        <v>2481.6</v>
      </c>
      <c r="X6" s="136">
        <v>609.70000000000005</v>
      </c>
      <c r="Y6" s="134">
        <v>686.7</v>
      </c>
      <c r="Z6" s="134">
        <v>693.8</v>
      </c>
      <c r="AA6" s="134">
        <v>723.2</v>
      </c>
      <c r="AB6" s="135">
        <f>SUM(X6:AA6)</f>
        <v>2713.4</v>
      </c>
      <c r="AC6" s="136">
        <v>738.9</v>
      </c>
      <c r="AD6" s="134">
        <v>781</v>
      </c>
      <c r="AE6" s="135">
        <f>SUM(AC6:AD6)</f>
        <v>1519.9</v>
      </c>
    </row>
    <row r="7" spans="1:31" s="21" customFormat="1">
      <c r="A7" s="1"/>
      <c r="B7" s="19" t="s">
        <v>35</v>
      </c>
      <c r="C7" s="7"/>
      <c r="D7" s="54">
        <v>115.7</v>
      </c>
      <c r="E7" s="55">
        <v>112.2</v>
      </c>
      <c r="F7" s="55">
        <v>107.4</v>
      </c>
      <c r="G7" s="56">
        <v>112.9</v>
      </c>
      <c r="H7" s="55">
        <v>448.20000000000005</v>
      </c>
      <c r="I7" s="54">
        <v>120.10000000000001</v>
      </c>
      <c r="J7" s="55">
        <v>130</v>
      </c>
      <c r="K7" s="55">
        <v>123</v>
      </c>
      <c r="L7" s="56">
        <v>121.6</v>
      </c>
      <c r="M7" s="56">
        <v>494.70000000000005</v>
      </c>
      <c r="N7" s="54">
        <v>138</v>
      </c>
      <c r="O7" s="55">
        <v>142.1</v>
      </c>
      <c r="P7" s="55">
        <v>136.1</v>
      </c>
      <c r="Q7" s="55">
        <v>129.9</v>
      </c>
      <c r="R7" s="88">
        <f>SUM(N7:Q7)</f>
        <v>546.1</v>
      </c>
      <c r="S7" s="136">
        <v>134.4</v>
      </c>
      <c r="T7" s="134">
        <v>142.80000000000001</v>
      </c>
      <c r="U7" s="134">
        <v>130.4</v>
      </c>
      <c r="V7" s="134">
        <v>125</v>
      </c>
      <c r="W7" s="135">
        <f>SUM(S7:V7)</f>
        <v>532.6</v>
      </c>
      <c r="X7" s="136">
        <v>110</v>
      </c>
      <c r="Y7" s="134">
        <v>145.19999999999999</v>
      </c>
      <c r="Z7" s="134">
        <v>141.80000000000001</v>
      </c>
      <c r="AA7" s="134">
        <v>145</v>
      </c>
      <c r="AB7" s="135">
        <f>SUM(X7:AA7)</f>
        <v>542</v>
      </c>
      <c r="AC7" s="136">
        <v>154.80000000000001</v>
      </c>
      <c r="AD7" s="134">
        <v>161.80000000000001</v>
      </c>
      <c r="AE7" s="135">
        <f>SUM(AC7:AD7)</f>
        <v>316.60000000000002</v>
      </c>
    </row>
    <row r="8" spans="1:31" s="21" customFormat="1" ht="15">
      <c r="A8" s="1"/>
      <c r="B8" s="44" t="s">
        <v>36</v>
      </c>
      <c r="C8" s="51">
        <v>-6</v>
      </c>
      <c r="D8" s="57">
        <v>8.8000000000000007</v>
      </c>
      <c r="E8" s="58">
        <v>9.1999999999999993</v>
      </c>
      <c r="F8" s="58">
        <v>8</v>
      </c>
      <c r="G8" s="59">
        <v>13</v>
      </c>
      <c r="H8" s="87">
        <v>39</v>
      </c>
      <c r="I8" s="57">
        <v>8.6</v>
      </c>
      <c r="J8" s="58">
        <v>9.4</v>
      </c>
      <c r="K8" s="58">
        <v>8.6999999999999993</v>
      </c>
      <c r="L8" s="59">
        <v>7.3</v>
      </c>
      <c r="M8" s="59">
        <v>34</v>
      </c>
      <c r="N8" s="57">
        <v>209.6</v>
      </c>
      <c r="O8" s="58">
        <v>194.3</v>
      </c>
      <c r="P8" s="58">
        <v>192.9</v>
      </c>
      <c r="Q8" s="58">
        <v>219</v>
      </c>
      <c r="R8" s="87">
        <f>SUM(N8:Q8)</f>
        <v>815.8</v>
      </c>
      <c r="S8" s="137">
        <v>210.1</v>
      </c>
      <c r="T8" s="142">
        <v>196.5</v>
      </c>
      <c r="U8" s="142">
        <v>189.2</v>
      </c>
      <c r="V8" s="142">
        <v>231.7</v>
      </c>
      <c r="W8" s="143">
        <f>SUM(S8:V8)</f>
        <v>827.5</v>
      </c>
      <c r="X8" s="137">
        <v>192.2</v>
      </c>
      <c r="Y8" s="142">
        <v>209.9</v>
      </c>
      <c r="Z8" s="142">
        <v>221.3</v>
      </c>
      <c r="AA8" s="142">
        <v>252.59999999999991</v>
      </c>
      <c r="AB8" s="143">
        <f>SUM(X8:AA8)</f>
        <v>876</v>
      </c>
      <c r="AC8" s="137">
        <v>246.9</v>
      </c>
      <c r="AD8" s="142">
        <v>240.6</v>
      </c>
      <c r="AE8" s="143">
        <f>SUM(AC8:AD8)</f>
        <v>487.5</v>
      </c>
    </row>
    <row r="9" spans="1:31" s="21" customFormat="1" ht="15">
      <c r="A9" s="1"/>
      <c r="B9" s="1"/>
      <c r="C9" s="7"/>
      <c r="D9" s="15"/>
      <c r="E9" s="22"/>
      <c r="F9" s="22"/>
      <c r="G9" s="23"/>
      <c r="H9" s="11"/>
      <c r="I9" s="15"/>
      <c r="J9" s="22"/>
      <c r="K9" s="22"/>
      <c r="L9" s="23"/>
      <c r="M9" s="23"/>
      <c r="N9" s="15"/>
      <c r="O9" s="22"/>
      <c r="P9" s="22"/>
      <c r="Q9" s="22"/>
      <c r="R9" s="91"/>
      <c r="S9" s="133"/>
      <c r="T9" s="134"/>
      <c r="U9" s="134"/>
      <c r="V9" s="134"/>
      <c r="W9" s="135"/>
      <c r="X9" s="133"/>
      <c r="Y9" s="134"/>
      <c r="Z9" s="134"/>
      <c r="AA9" s="134"/>
      <c r="AB9" s="135"/>
      <c r="AC9" s="133"/>
      <c r="AD9" s="134"/>
      <c r="AE9" s="163"/>
    </row>
    <row r="10" spans="1:31" s="21" customFormat="1" ht="15">
      <c r="A10" s="1"/>
      <c r="B10" s="25" t="s">
        <v>7</v>
      </c>
      <c r="C10" s="26">
        <v>-1</v>
      </c>
      <c r="D10" s="15"/>
      <c r="E10" s="22"/>
      <c r="F10" s="22"/>
      <c r="G10" s="23"/>
      <c r="H10" s="11"/>
      <c r="I10" s="15"/>
      <c r="J10" s="22"/>
      <c r="K10" s="22"/>
      <c r="L10" s="23"/>
      <c r="M10" s="23"/>
      <c r="N10" s="15"/>
      <c r="O10" s="22"/>
      <c r="P10" s="22"/>
      <c r="Q10" s="22"/>
      <c r="R10" s="91"/>
      <c r="S10" s="133"/>
      <c r="T10" s="134"/>
      <c r="U10" s="134"/>
      <c r="V10" s="134"/>
      <c r="W10" s="135"/>
      <c r="X10" s="133"/>
      <c r="Y10" s="134"/>
      <c r="Z10" s="134"/>
      <c r="AA10" s="134"/>
      <c r="AB10" s="135"/>
      <c r="AC10" s="133"/>
      <c r="AD10" s="134"/>
      <c r="AE10" s="163"/>
    </row>
    <row r="11" spans="1:31" s="21" customFormat="1" ht="15">
      <c r="A11" s="1"/>
      <c r="B11" s="19" t="s">
        <v>22</v>
      </c>
      <c r="C11" s="26"/>
      <c r="D11" s="60">
        <v>370.3</v>
      </c>
      <c r="E11" s="61">
        <v>384.5</v>
      </c>
      <c r="F11" s="61">
        <v>350.9</v>
      </c>
      <c r="G11" s="62">
        <v>387.7</v>
      </c>
      <c r="H11" s="61">
        <v>1493.3999999999999</v>
      </c>
      <c r="I11" s="60">
        <v>393.1</v>
      </c>
      <c r="J11" s="61">
        <v>398.1</v>
      </c>
      <c r="K11" s="61">
        <v>376.8</v>
      </c>
      <c r="L11" s="62">
        <v>410.1</v>
      </c>
      <c r="M11" s="62">
        <v>1578.1</v>
      </c>
      <c r="N11" s="60">
        <v>433.8</v>
      </c>
      <c r="O11" s="61">
        <v>435.6</v>
      </c>
      <c r="P11" s="61">
        <v>385.5</v>
      </c>
      <c r="Q11" s="61">
        <v>422</v>
      </c>
      <c r="R11" s="92">
        <f>SUM(N11:Q11)</f>
        <v>1676.9</v>
      </c>
      <c r="S11" s="60">
        <v>452.3</v>
      </c>
      <c r="T11" s="61">
        <v>459.6</v>
      </c>
      <c r="U11" s="61">
        <v>430</v>
      </c>
      <c r="V11" s="61">
        <v>474.5</v>
      </c>
      <c r="W11" s="92">
        <f>SUM(S11:V11)</f>
        <v>1816.4</v>
      </c>
      <c r="X11" s="60">
        <v>451.8</v>
      </c>
      <c r="Y11" s="61">
        <v>515</v>
      </c>
      <c r="Z11" s="61">
        <v>518.1</v>
      </c>
      <c r="AA11" s="61">
        <v>555.29999999999995</v>
      </c>
      <c r="AB11" s="92">
        <f>SUM(X11:AA11)</f>
        <v>2040.2</v>
      </c>
      <c r="AC11" s="60">
        <v>577.1</v>
      </c>
      <c r="AD11" s="61">
        <v>635.29999999999995</v>
      </c>
      <c r="AE11" s="92">
        <f>SUM(AC11:AD11)</f>
        <v>1212.4000000000001</v>
      </c>
    </row>
    <row r="12" spans="1:31" s="21" customFormat="1" ht="15">
      <c r="A12" s="1"/>
      <c r="B12" s="19" t="str">
        <f>B7</f>
        <v>Asia Pacific Fiber Cement</v>
      </c>
      <c r="C12" s="26"/>
      <c r="D12" s="63">
        <v>91.9</v>
      </c>
      <c r="E12" s="3">
        <v>96.4</v>
      </c>
      <c r="F12" s="3">
        <v>90.7</v>
      </c>
      <c r="G12" s="3">
        <v>91.6</v>
      </c>
      <c r="H12" s="86">
        <v>370.6</v>
      </c>
      <c r="I12" s="63">
        <v>101.6</v>
      </c>
      <c r="J12" s="3">
        <v>113.4</v>
      </c>
      <c r="K12" s="3">
        <v>105.3</v>
      </c>
      <c r="L12" s="17">
        <v>105.10000000000001</v>
      </c>
      <c r="M12" s="17">
        <v>425.40000000000003</v>
      </c>
      <c r="N12" s="63">
        <v>117.1</v>
      </c>
      <c r="O12" s="3">
        <v>117.3</v>
      </c>
      <c r="P12" s="3">
        <v>110.1</v>
      </c>
      <c r="Q12" s="3">
        <v>102.3</v>
      </c>
      <c r="R12" s="86">
        <f>SUM(N12:Q12)</f>
        <v>446.8</v>
      </c>
      <c r="S12" s="138">
        <v>108</v>
      </c>
      <c r="T12" s="134">
        <v>112.6</v>
      </c>
      <c r="U12" s="134">
        <v>102</v>
      </c>
      <c r="V12" s="134">
        <v>95.8</v>
      </c>
      <c r="W12" s="135">
        <f>SUM(S12:V12)</f>
        <v>418.40000000000003</v>
      </c>
      <c r="X12" s="138">
        <v>91.3</v>
      </c>
      <c r="Y12" s="134">
        <v>122.1</v>
      </c>
      <c r="Z12" s="134">
        <v>119.1</v>
      </c>
      <c r="AA12" s="134">
        <v>125.69999999999999</v>
      </c>
      <c r="AB12" s="135">
        <f>SUM(X12:AA12)</f>
        <v>458.2</v>
      </c>
      <c r="AC12" s="138">
        <v>141.80000000000001</v>
      </c>
      <c r="AD12" s="134">
        <v>144.4</v>
      </c>
      <c r="AE12" s="164">
        <f>SUM(AC12:AD12)</f>
        <v>286.20000000000005</v>
      </c>
    </row>
    <row r="13" spans="1:31" s="21" customFormat="1" ht="15">
      <c r="A13" s="1"/>
      <c r="B13" s="19" t="str">
        <f>B8</f>
        <v>Europe Building Products</v>
      </c>
      <c r="C13" s="26">
        <v>-6</v>
      </c>
      <c r="D13" s="63">
        <v>11</v>
      </c>
      <c r="E13" s="3">
        <v>10.199999999999999</v>
      </c>
      <c r="F13" s="3">
        <v>8.8000000000000007</v>
      </c>
      <c r="G13" s="3">
        <v>11.2</v>
      </c>
      <c r="H13" s="86">
        <v>41.2</v>
      </c>
      <c r="I13" s="63">
        <v>9.2000000000000011</v>
      </c>
      <c r="J13" s="3">
        <v>10.5</v>
      </c>
      <c r="K13" s="3">
        <v>9.1999999999999993</v>
      </c>
      <c r="L13" s="17">
        <v>7.3999999999999995</v>
      </c>
      <c r="M13" s="17">
        <v>36.300000000000004</v>
      </c>
      <c r="N13" s="63">
        <v>95.4</v>
      </c>
      <c r="O13" s="3">
        <v>87.4</v>
      </c>
      <c r="P13" s="3">
        <v>86.8</v>
      </c>
      <c r="Q13" s="3">
        <v>98.7</v>
      </c>
      <c r="R13" s="86">
        <f>SUM(N13:Q13)</f>
        <v>368.3</v>
      </c>
      <c r="S13" s="138">
        <f>12.5+83.4</f>
        <v>95.9</v>
      </c>
      <c r="T13" s="134">
        <v>87.9</v>
      </c>
      <c r="U13" s="134">
        <v>84.7</v>
      </c>
      <c r="V13" s="134">
        <v>102.9</v>
      </c>
      <c r="W13" s="135">
        <f>SUM(S13:V13)</f>
        <v>371.4</v>
      </c>
      <c r="X13" s="138">
        <v>83.2</v>
      </c>
      <c r="Y13" s="134">
        <v>99.7</v>
      </c>
      <c r="Z13" s="134">
        <v>101.4</v>
      </c>
      <c r="AA13" s="134">
        <v>126</v>
      </c>
      <c r="AB13" s="135">
        <f>SUM(X13:AA13)</f>
        <v>410.3</v>
      </c>
      <c r="AC13" s="138">
        <v>124.4</v>
      </c>
      <c r="AD13" s="134">
        <v>123.5</v>
      </c>
      <c r="AE13" s="164">
        <f>SUM(AC13:AD13)</f>
        <v>247.9</v>
      </c>
    </row>
    <row r="14" spans="1:31" s="21" customFormat="1" ht="15">
      <c r="A14" s="8"/>
      <c r="B14" s="44" t="s">
        <v>23</v>
      </c>
      <c r="C14" s="64"/>
      <c r="D14" s="57">
        <v>4.5</v>
      </c>
      <c r="E14" s="58">
        <v>4.7</v>
      </c>
      <c r="F14" s="58">
        <v>3.4</v>
      </c>
      <c r="G14" s="59">
        <v>3.8</v>
      </c>
      <c r="H14" s="84">
        <v>16.399999999999999</v>
      </c>
      <c r="I14" s="57">
        <v>3.8</v>
      </c>
      <c r="J14" s="58">
        <v>3.8</v>
      </c>
      <c r="K14" s="58">
        <v>3.8</v>
      </c>
      <c r="L14" s="59">
        <v>3.3</v>
      </c>
      <c r="M14" s="59">
        <v>14.7</v>
      </c>
      <c r="N14" s="57">
        <v>4.7</v>
      </c>
      <c r="O14" s="58">
        <v>4.3</v>
      </c>
      <c r="P14" s="58">
        <v>3.8</v>
      </c>
      <c r="Q14" s="58">
        <v>1.8</v>
      </c>
      <c r="R14" s="87">
        <f>SUM(N14:Q14)</f>
        <v>14.600000000000001</v>
      </c>
      <c r="S14" s="137">
        <v>0.6</v>
      </c>
      <c r="T14" s="75">
        <v>0</v>
      </c>
      <c r="U14" s="75">
        <v>0</v>
      </c>
      <c r="V14" s="66">
        <v>0</v>
      </c>
      <c r="W14" s="143">
        <f>SUM(S14:V14)</f>
        <v>0.6</v>
      </c>
      <c r="X14" s="84">
        <v>0</v>
      </c>
      <c r="Y14" s="84">
        <v>0</v>
      </c>
      <c r="Z14" s="84">
        <v>0</v>
      </c>
      <c r="AA14" s="84">
        <v>0</v>
      </c>
      <c r="AB14" s="125">
        <f>SUM(X14:AA14)</f>
        <v>0</v>
      </c>
      <c r="AC14" s="84">
        <v>0</v>
      </c>
      <c r="AD14" s="84">
        <v>0</v>
      </c>
      <c r="AE14" s="125">
        <f>SUM(AC14:AD14)</f>
        <v>0</v>
      </c>
    </row>
    <row r="15" spans="1:31" s="21" customFormat="1">
      <c r="A15" s="1"/>
      <c r="B15" s="20" t="s">
        <v>3</v>
      </c>
      <c r="C15" s="7"/>
      <c r="D15" s="54">
        <v>477.70000000000005</v>
      </c>
      <c r="E15" s="55">
        <v>495.8</v>
      </c>
      <c r="F15" s="55">
        <v>453.79999999999995</v>
      </c>
      <c r="G15" s="56">
        <v>494.3</v>
      </c>
      <c r="H15" s="55">
        <v>1921.6000000000001</v>
      </c>
      <c r="I15" s="54">
        <v>507.70000000000005</v>
      </c>
      <c r="J15" s="55">
        <v>525.79999999999995</v>
      </c>
      <c r="K15" s="55">
        <v>495.1</v>
      </c>
      <c r="L15" s="56">
        <v>525.9</v>
      </c>
      <c r="M15" s="56">
        <v>2054.5</v>
      </c>
      <c r="N15" s="54">
        <f>SUM(N11:N14)</f>
        <v>651</v>
      </c>
      <c r="O15" s="55">
        <f>SUM(O11:O14)</f>
        <v>644.59999999999991</v>
      </c>
      <c r="P15" s="55">
        <f>SUM(P11:P14)</f>
        <v>586.19999999999993</v>
      </c>
      <c r="Q15" s="55">
        <f>SUM(Q11:Q14)</f>
        <v>624.79999999999995</v>
      </c>
      <c r="R15" s="88">
        <f>SUM(N15:Q15)</f>
        <v>2506.5999999999995</v>
      </c>
      <c r="S15" s="136">
        <f t="shared" ref="S15:Y15" si="0">SUM(S11:S14)</f>
        <v>656.8</v>
      </c>
      <c r="T15" s="134">
        <f t="shared" si="0"/>
        <v>660.1</v>
      </c>
      <c r="U15" s="134">
        <f t="shared" si="0"/>
        <v>616.70000000000005</v>
      </c>
      <c r="V15" s="134">
        <f t="shared" si="0"/>
        <v>673.19999999999993</v>
      </c>
      <c r="W15" s="135">
        <f t="shared" si="0"/>
        <v>2606.8000000000002</v>
      </c>
      <c r="X15" s="136">
        <f t="shared" si="0"/>
        <v>626.30000000000007</v>
      </c>
      <c r="Y15" s="134">
        <f t="shared" si="0"/>
        <v>736.80000000000007</v>
      </c>
      <c r="Z15" s="134">
        <f t="shared" ref="Z15:AC15" si="1">SUM(Z11:Z14)</f>
        <v>738.6</v>
      </c>
      <c r="AA15" s="134">
        <f t="shared" si="1"/>
        <v>807</v>
      </c>
      <c r="AB15" s="135">
        <f t="shared" si="1"/>
        <v>2908.7000000000003</v>
      </c>
      <c r="AC15" s="136">
        <f t="shared" si="1"/>
        <v>843.30000000000007</v>
      </c>
      <c r="AD15" s="134">
        <f>SUM(AD11:AD14)</f>
        <v>903.19999999999993</v>
      </c>
      <c r="AE15" s="135">
        <f>SUM(AE11:AE14)</f>
        <v>1746.5000000000002</v>
      </c>
    </row>
    <row r="16" spans="1:31" s="21" customFormat="1" ht="15">
      <c r="A16" s="1"/>
      <c r="B16" s="1"/>
      <c r="C16" s="102"/>
      <c r="D16" s="103"/>
      <c r="E16" s="104"/>
      <c r="F16" s="104"/>
      <c r="G16" s="106"/>
      <c r="H16" s="105"/>
      <c r="I16" s="103"/>
      <c r="J16" s="104"/>
      <c r="K16" s="104"/>
      <c r="L16" s="106"/>
      <c r="M16" s="106"/>
      <c r="N16" s="103"/>
      <c r="O16" s="104"/>
      <c r="P16" s="104"/>
      <c r="Q16" s="104"/>
      <c r="R16" s="107"/>
      <c r="S16" s="133"/>
      <c r="T16" s="134"/>
      <c r="U16" s="134"/>
      <c r="V16" s="134"/>
      <c r="W16" s="135"/>
      <c r="X16" s="133"/>
      <c r="Y16" s="134"/>
      <c r="Z16" s="134"/>
      <c r="AA16" s="134"/>
      <c r="AB16" s="135"/>
      <c r="AC16" s="133"/>
      <c r="AD16" s="134"/>
      <c r="AE16" s="163"/>
    </row>
    <row r="17" spans="1:31" s="21" customFormat="1" ht="15">
      <c r="A17" s="1"/>
      <c r="B17" s="25" t="s">
        <v>0</v>
      </c>
      <c r="C17" s="26"/>
      <c r="D17" s="54">
        <v>176.8</v>
      </c>
      <c r="E17" s="55">
        <v>182.1</v>
      </c>
      <c r="F17" s="55">
        <v>155</v>
      </c>
      <c r="G17" s="56">
        <v>160.80000000000001</v>
      </c>
      <c r="H17" s="86">
        <v>674.7</v>
      </c>
      <c r="I17" s="54">
        <v>169</v>
      </c>
      <c r="J17" s="55">
        <v>187.2</v>
      </c>
      <c r="K17" s="55">
        <v>182.9</v>
      </c>
      <c r="L17" s="56">
        <v>191.1</v>
      </c>
      <c r="M17" s="56">
        <v>730.2</v>
      </c>
      <c r="N17" s="54">
        <v>221.1</v>
      </c>
      <c r="O17" s="55">
        <v>207.1</v>
      </c>
      <c r="P17" s="55">
        <v>192.2</v>
      </c>
      <c r="Q17" s="55">
        <v>210.6</v>
      </c>
      <c r="R17" s="88">
        <f>SUM(N17:Q17)</f>
        <v>831</v>
      </c>
      <c r="S17" s="136">
        <v>233.1</v>
      </c>
      <c r="T17" s="134">
        <v>240.1</v>
      </c>
      <c r="U17" s="134">
        <v>220.6</v>
      </c>
      <c r="V17" s="134">
        <v>239.9</v>
      </c>
      <c r="W17" s="135">
        <f>SUM(S17:V17)</f>
        <v>933.69999999999993</v>
      </c>
      <c r="X17" s="159">
        <v>219.5</v>
      </c>
      <c r="Y17" s="160">
        <v>269.2</v>
      </c>
      <c r="Z17" s="160">
        <v>272</v>
      </c>
      <c r="AA17" s="160">
        <v>291</v>
      </c>
      <c r="AB17" s="135">
        <f>SUM(X17:AA17)</f>
        <v>1051.7</v>
      </c>
      <c r="AC17" s="159">
        <v>307.8</v>
      </c>
      <c r="AD17" s="160">
        <v>328.9</v>
      </c>
      <c r="AE17" s="135">
        <f>SUM(AC17:AD17)</f>
        <v>636.70000000000005</v>
      </c>
    </row>
    <row r="18" spans="1:31" s="21" customFormat="1" ht="15">
      <c r="A18" s="1"/>
      <c r="B18" s="1"/>
      <c r="C18" s="7"/>
      <c r="D18" s="68"/>
      <c r="E18" s="40"/>
      <c r="F18" s="40"/>
      <c r="G18" s="41"/>
      <c r="H18" s="55"/>
      <c r="I18" s="68"/>
      <c r="J18" s="40"/>
      <c r="K18" s="40"/>
      <c r="L18" s="41"/>
      <c r="M18" s="41"/>
      <c r="N18" s="68"/>
      <c r="O18" s="40"/>
      <c r="P18" s="40"/>
      <c r="Q18" s="40"/>
      <c r="R18" s="93"/>
      <c r="S18" s="133"/>
      <c r="T18" s="134"/>
      <c r="U18" s="134"/>
      <c r="V18" s="134"/>
      <c r="W18" s="135"/>
      <c r="X18" s="133"/>
      <c r="Y18" s="134"/>
      <c r="Z18" s="134"/>
      <c r="AA18" s="134"/>
      <c r="AB18" s="135"/>
      <c r="AC18" s="133"/>
      <c r="AD18" s="134"/>
      <c r="AE18" s="163"/>
    </row>
    <row r="19" spans="1:31" s="21" customFormat="1" ht="15" collapsed="1">
      <c r="A19" s="1"/>
      <c r="B19" s="25" t="s">
        <v>1</v>
      </c>
      <c r="C19" s="26">
        <v>-1</v>
      </c>
      <c r="D19" s="69"/>
      <c r="E19" s="42"/>
      <c r="F19" s="42"/>
      <c r="G19" s="43"/>
      <c r="H19" s="42"/>
      <c r="I19" s="69"/>
      <c r="J19" s="42"/>
      <c r="K19" s="42"/>
      <c r="L19" s="43"/>
      <c r="M19" s="43"/>
      <c r="N19" s="118"/>
      <c r="O19" s="119"/>
      <c r="P19" s="119"/>
      <c r="Q19" s="119"/>
      <c r="R19" s="120"/>
      <c r="S19" s="136"/>
      <c r="T19" s="134"/>
      <c r="U19" s="134"/>
      <c r="V19" s="134"/>
      <c r="W19" s="135"/>
      <c r="X19" s="136"/>
      <c r="Y19" s="134"/>
      <c r="Z19" s="134"/>
      <c r="AA19" s="134"/>
      <c r="AB19" s="135"/>
      <c r="AC19" s="136"/>
      <c r="AD19" s="134"/>
      <c r="AE19" s="135"/>
    </row>
    <row r="20" spans="1:31" s="21" customFormat="1" ht="15">
      <c r="A20" s="1"/>
      <c r="B20" s="19" t="s">
        <v>22</v>
      </c>
      <c r="C20" s="108">
        <v>-2</v>
      </c>
      <c r="D20" s="63">
        <v>94.6</v>
      </c>
      <c r="E20" s="3">
        <v>97.7</v>
      </c>
      <c r="F20" s="3">
        <v>75.5</v>
      </c>
      <c r="G20" s="17">
        <v>76.099999999999994</v>
      </c>
      <c r="H20" s="3">
        <v>343.9</v>
      </c>
      <c r="I20" s="63">
        <v>79.8</v>
      </c>
      <c r="J20" s="3">
        <v>97.4</v>
      </c>
      <c r="K20" s="3">
        <v>101.3</v>
      </c>
      <c r="L20" s="17">
        <v>103.4</v>
      </c>
      <c r="M20" s="17">
        <v>381.9</v>
      </c>
      <c r="N20" s="63">
        <v>107.2</v>
      </c>
      <c r="O20" s="3">
        <v>99.5</v>
      </c>
      <c r="P20" s="121">
        <v>86.1</v>
      </c>
      <c r="Q20" s="121">
        <v>95.1</v>
      </c>
      <c r="R20" s="86">
        <f t="shared" ref="R20:R25" si="2">SUM(N20:Q20)</f>
        <v>387.9</v>
      </c>
      <c r="S20" s="138">
        <v>113.5</v>
      </c>
      <c r="T20" s="134">
        <v>124.7</v>
      </c>
      <c r="U20" s="134">
        <v>112.3</v>
      </c>
      <c r="V20" s="134">
        <v>120</v>
      </c>
      <c r="W20" s="135">
        <f t="shared" ref="W20:W26" si="3">SUM(S20:V20)</f>
        <v>470.5</v>
      </c>
      <c r="X20" s="138">
        <v>130.9</v>
      </c>
      <c r="Y20" s="134">
        <v>148.6</v>
      </c>
      <c r="Z20" s="134">
        <v>155.6</v>
      </c>
      <c r="AA20" s="134">
        <v>152.89999999999998</v>
      </c>
      <c r="AB20" s="86">
        <f>SUM(X20:AA20)</f>
        <v>588</v>
      </c>
      <c r="AC20" s="138">
        <v>169.3</v>
      </c>
      <c r="AD20" s="134">
        <v>182.5</v>
      </c>
      <c r="AE20" s="88">
        <f t="shared" ref="AE20:AE31" si="4">SUM(AC20:AD20)</f>
        <v>351.8</v>
      </c>
    </row>
    <row r="21" spans="1:31" s="21" customFormat="1" ht="15">
      <c r="A21" s="1"/>
      <c r="B21" s="19" t="str">
        <f>B12</f>
        <v>Asia Pacific Fiber Cement</v>
      </c>
      <c r="C21" s="26">
        <v>-3</v>
      </c>
      <c r="D21" s="63">
        <v>23.1</v>
      </c>
      <c r="E21" s="3">
        <v>25.5</v>
      </c>
      <c r="F21" s="3">
        <v>22.599999999999998</v>
      </c>
      <c r="G21" s="17">
        <v>22.599999999999998</v>
      </c>
      <c r="H21" s="3">
        <v>93.8</v>
      </c>
      <c r="I21" s="63">
        <v>26.4</v>
      </c>
      <c r="J21" s="3">
        <v>30.5</v>
      </c>
      <c r="K21" s="3">
        <v>24.9</v>
      </c>
      <c r="L21" s="17">
        <v>26.3</v>
      </c>
      <c r="M21" s="17">
        <v>108.1</v>
      </c>
      <c r="N21" s="63">
        <v>28.3</v>
      </c>
      <c r="O21" s="3">
        <v>27.5</v>
      </c>
      <c r="P21" s="3">
        <v>23.5</v>
      </c>
      <c r="Q21" s="3">
        <v>20.5</v>
      </c>
      <c r="R21" s="86">
        <f t="shared" si="2"/>
        <v>99.8</v>
      </c>
      <c r="S21" s="138">
        <v>24.8</v>
      </c>
      <c r="T21" s="134">
        <v>27</v>
      </c>
      <c r="U21" s="134">
        <v>23.4</v>
      </c>
      <c r="V21" s="134">
        <v>19.600000000000001</v>
      </c>
      <c r="W21" s="135">
        <f t="shared" si="3"/>
        <v>94.799999999999983</v>
      </c>
      <c r="X21" s="138">
        <v>22.3</v>
      </c>
      <c r="Y21" s="134">
        <v>38.700000000000003</v>
      </c>
      <c r="Z21" s="134">
        <v>33.5</v>
      </c>
      <c r="AA21" s="134">
        <v>33.699999999999989</v>
      </c>
      <c r="AB21" s="86">
        <f t="shared" ref="AB21:AB26" si="5">SUM(X21:AA21)</f>
        <v>128.19999999999999</v>
      </c>
      <c r="AC21" s="138">
        <v>38.799999999999997</v>
      </c>
      <c r="AD21" s="134">
        <v>44.5</v>
      </c>
      <c r="AE21" s="88">
        <f t="shared" si="4"/>
        <v>83.3</v>
      </c>
    </row>
    <row r="22" spans="1:31" s="21" customFormat="1" ht="15">
      <c r="A22" s="1"/>
      <c r="B22" s="19" t="str">
        <f>B13</f>
        <v>Europe Building Products</v>
      </c>
      <c r="C22" s="26">
        <v>-6</v>
      </c>
      <c r="D22" s="63">
        <v>0.8</v>
      </c>
      <c r="E22" s="3">
        <v>0.2</v>
      </c>
      <c r="F22" s="3">
        <v>-0.7</v>
      </c>
      <c r="G22" s="17">
        <v>1</v>
      </c>
      <c r="H22" s="3">
        <v>1.3</v>
      </c>
      <c r="I22" s="63">
        <v>-0.2</v>
      </c>
      <c r="J22" s="3">
        <v>0.3</v>
      </c>
      <c r="K22" s="3">
        <v>0.5</v>
      </c>
      <c r="L22" s="17">
        <v>-0.3</v>
      </c>
      <c r="M22" s="17">
        <v>0.3</v>
      </c>
      <c r="N22" s="63">
        <v>-4.5999999999999996</v>
      </c>
      <c r="O22" s="3">
        <v>3.4</v>
      </c>
      <c r="P22" s="3">
        <v>4.0999999999999996</v>
      </c>
      <c r="Q22" s="3">
        <v>7.1</v>
      </c>
      <c r="R22" s="86">
        <f t="shared" si="2"/>
        <v>10</v>
      </c>
      <c r="S22" s="138">
        <v>7.9</v>
      </c>
      <c r="T22" s="134">
        <v>5.8</v>
      </c>
      <c r="U22" s="134">
        <v>2.4</v>
      </c>
      <c r="V22" s="134">
        <v>0.6</v>
      </c>
      <c r="W22" s="135">
        <f t="shared" si="3"/>
        <v>16.7</v>
      </c>
      <c r="X22" s="63">
        <v>2.4</v>
      </c>
      <c r="Y22" s="134">
        <v>11.1</v>
      </c>
      <c r="Z22" s="134">
        <v>10.3</v>
      </c>
      <c r="AA22" s="134">
        <v>18.900000000000002</v>
      </c>
      <c r="AB22" s="86">
        <f t="shared" si="5"/>
        <v>42.7</v>
      </c>
      <c r="AC22" s="63">
        <v>16.3</v>
      </c>
      <c r="AD22" s="134">
        <v>16.7</v>
      </c>
      <c r="AE22" s="88">
        <f t="shared" si="4"/>
        <v>33</v>
      </c>
    </row>
    <row r="23" spans="1:31" s="21" customFormat="1" ht="15">
      <c r="A23" s="1"/>
      <c r="B23" s="19" t="s">
        <v>23</v>
      </c>
      <c r="C23" s="26">
        <v>-7</v>
      </c>
      <c r="D23" s="63">
        <v>-1.4</v>
      </c>
      <c r="E23" s="3">
        <v>-1.2</v>
      </c>
      <c r="F23" s="3">
        <v>-2.1</v>
      </c>
      <c r="G23" s="17">
        <v>-2</v>
      </c>
      <c r="H23" s="3">
        <v>-6.6999999999999993</v>
      </c>
      <c r="I23" s="63">
        <v>-1.8</v>
      </c>
      <c r="J23" s="3">
        <v>-2.1</v>
      </c>
      <c r="K23" s="3">
        <v>-1.9</v>
      </c>
      <c r="L23" s="17">
        <v>-2.8</v>
      </c>
      <c r="M23" s="17">
        <v>-8.6000000000000014</v>
      </c>
      <c r="N23" s="63">
        <v>-1.5</v>
      </c>
      <c r="O23" s="3">
        <v>-1.8</v>
      </c>
      <c r="P23" s="3">
        <v>-2.6</v>
      </c>
      <c r="Q23" s="3">
        <v>-0.9</v>
      </c>
      <c r="R23" s="86">
        <f t="shared" si="2"/>
        <v>-6.8000000000000007</v>
      </c>
      <c r="S23" s="138">
        <v>0.4</v>
      </c>
      <c r="T23" s="3">
        <v>-0.5</v>
      </c>
      <c r="U23" s="3">
        <v>0</v>
      </c>
      <c r="V23" s="3">
        <v>0.1</v>
      </c>
      <c r="W23" s="86">
        <f t="shared" si="3"/>
        <v>0</v>
      </c>
      <c r="X23" s="63">
        <v>0</v>
      </c>
      <c r="Y23" s="3">
        <v>0</v>
      </c>
      <c r="Z23" s="3">
        <v>0</v>
      </c>
      <c r="AA23" s="3">
        <v>0</v>
      </c>
      <c r="AB23" s="86">
        <f t="shared" si="5"/>
        <v>0</v>
      </c>
      <c r="AC23" s="63">
        <v>0</v>
      </c>
      <c r="AD23" s="3">
        <v>0</v>
      </c>
      <c r="AE23" s="86">
        <f t="shared" si="4"/>
        <v>0</v>
      </c>
    </row>
    <row r="24" spans="1:31" s="158" customFormat="1" ht="15">
      <c r="A24" s="152"/>
      <c r="B24" s="153" t="s">
        <v>8</v>
      </c>
      <c r="C24" s="26"/>
      <c r="D24" s="154">
        <v>-6.1</v>
      </c>
      <c r="E24" s="155">
        <v>-6</v>
      </c>
      <c r="F24" s="155">
        <v>-6.2</v>
      </c>
      <c r="G24" s="156">
        <v>-7.2</v>
      </c>
      <c r="H24" s="155">
        <v>-25.5</v>
      </c>
      <c r="I24" s="154">
        <v>-6.1</v>
      </c>
      <c r="J24" s="155">
        <v>-7.2</v>
      </c>
      <c r="K24" s="155">
        <v>-7.2</v>
      </c>
      <c r="L24" s="156">
        <v>-7.3</v>
      </c>
      <c r="M24" s="156">
        <v>-27.8</v>
      </c>
      <c r="N24" s="154">
        <v>-7.4</v>
      </c>
      <c r="O24" s="155">
        <v>-7.1</v>
      </c>
      <c r="P24" s="155">
        <v>-7.4</v>
      </c>
      <c r="Q24" s="155">
        <v>-7.1</v>
      </c>
      <c r="R24" s="157">
        <f t="shared" si="2"/>
        <v>-29</v>
      </c>
      <c r="S24" s="154">
        <v>-6.2</v>
      </c>
      <c r="T24" s="155">
        <v>-6.9</v>
      </c>
      <c r="U24" s="155">
        <v>-6.6</v>
      </c>
      <c r="V24" s="155">
        <v>-7.3</v>
      </c>
      <c r="W24" s="157">
        <f t="shared" si="3"/>
        <v>-27.000000000000004</v>
      </c>
      <c r="X24" s="154">
        <v>-6</v>
      </c>
      <c r="Y24" s="155">
        <v>-6.4</v>
      </c>
      <c r="Z24" s="155">
        <v>-7.9</v>
      </c>
      <c r="AA24" s="155">
        <v>-8.5</v>
      </c>
      <c r="AB24" s="86">
        <f t="shared" si="5"/>
        <v>-28.8</v>
      </c>
      <c r="AC24" s="63">
        <v>-8.4</v>
      </c>
      <c r="AD24" s="155">
        <v>-8.3000000000000007</v>
      </c>
      <c r="AE24" s="88">
        <f t="shared" si="4"/>
        <v>-16.700000000000003</v>
      </c>
    </row>
    <row r="25" spans="1:31" s="21" customFormat="1">
      <c r="A25" s="1"/>
      <c r="B25" s="19" t="s">
        <v>59</v>
      </c>
      <c r="C25" s="7"/>
      <c r="D25" s="70">
        <v>0</v>
      </c>
      <c r="E25" s="71">
        <v>0</v>
      </c>
      <c r="F25" s="67" t="s">
        <v>20</v>
      </c>
      <c r="G25" s="72">
        <v>0</v>
      </c>
      <c r="H25" s="71">
        <v>0</v>
      </c>
      <c r="I25" s="63">
        <v>0</v>
      </c>
      <c r="J25" s="3">
        <v>0</v>
      </c>
      <c r="K25" s="3">
        <v>0</v>
      </c>
      <c r="L25" s="17">
        <v>0</v>
      </c>
      <c r="M25" s="86">
        <v>0</v>
      </c>
      <c r="N25" s="63">
        <v>0</v>
      </c>
      <c r="O25" s="3">
        <v>-21.2</v>
      </c>
      <c r="P25" s="3">
        <v>-4.8</v>
      </c>
      <c r="Q25" s="3">
        <v>-3.5</v>
      </c>
      <c r="R25" s="86">
        <f t="shared" si="2"/>
        <v>-29.5</v>
      </c>
      <c r="S25" s="63">
        <v>0</v>
      </c>
      <c r="T25" s="3">
        <v>0</v>
      </c>
      <c r="U25" s="3">
        <v>0</v>
      </c>
      <c r="V25" s="3">
        <v>-84.4</v>
      </c>
      <c r="W25" s="86">
        <f t="shared" si="3"/>
        <v>-84.4</v>
      </c>
      <c r="X25" s="63">
        <v>0</v>
      </c>
      <c r="Y25" s="3">
        <v>0</v>
      </c>
      <c r="Z25" s="3">
        <v>0</v>
      </c>
      <c r="AA25" s="3">
        <v>0</v>
      </c>
      <c r="AB25" s="86">
        <f t="shared" si="5"/>
        <v>0</v>
      </c>
      <c r="AC25" s="63">
        <v>0</v>
      </c>
      <c r="AD25" s="3">
        <v>0</v>
      </c>
      <c r="AE25" s="86">
        <f t="shared" si="4"/>
        <v>0</v>
      </c>
    </row>
    <row r="26" spans="1:31" s="21" customFormat="1">
      <c r="A26" s="1"/>
      <c r="B26" s="19" t="s">
        <v>64</v>
      </c>
      <c r="C26" s="7"/>
      <c r="D26" s="70">
        <v>0</v>
      </c>
      <c r="E26" s="71">
        <v>0</v>
      </c>
      <c r="F26" s="67" t="s">
        <v>20</v>
      </c>
      <c r="G26" s="72">
        <v>0</v>
      </c>
      <c r="H26" s="71">
        <v>0</v>
      </c>
      <c r="I26" s="63">
        <v>0</v>
      </c>
      <c r="J26" s="3">
        <v>0</v>
      </c>
      <c r="K26" s="67">
        <v>0</v>
      </c>
      <c r="L26" s="17">
        <v>0</v>
      </c>
      <c r="M26" s="86">
        <v>0</v>
      </c>
      <c r="N26" s="63">
        <v>0</v>
      </c>
      <c r="O26" s="3">
        <v>0</v>
      </c>
      <c r="P26" s="67">
        <v>0</v>
      </c>
      <c r="Q26" s="17">
        <v>0</v>
      </c>
      <c r="R26" s="86">
        <v>0</v>
      </c>
      <c r="S26" s="63">
        <v>0</v>
      </c>
      <c r="T26" s="3">
        <v>0</v>
      </c>
      <c r="U26" s="3">
        <v>0</v>
      </c>
      <c r="V26" s="3">
        <v>0</v>
      </c>
      <c r="W26" s="86">
        <f t="shared" si="3"/>
        <v>0</v>
      </c>
      <c r="X26" s="63">
        <v>-11.1</v>
      </c>
      <c r="Y26" s="3">
        <v>0</v>
      </c>
      <c r="Z26" s="3">
        <v>0</v>
      </c>
      <c r="AA26" s="3">
        <v>0</v>
      </c>
      <c r="AB26" s="86">
        <f t="shared" si="5"/>
        <v>-11.1</v>
      </c>
      <c r="AC26" s="63">
        <v>0</v>
      </c>
      <c r="AD26" s="3">
        <v>0</v>
      </c>
      <c r="AE26" s="86">
        <f t="shared" si="4"/>
        <v>0</v>
      </c>
    </row>
    <row r="27" spans="1:31" s="21" customFormat="1">
      <c r="A27" s="1"/>
      <c r="B27" s="19" t="s">
        <v>9</v>
      </c>
      <c r="C27" s="7"/>
      <c r="D27" s="63"/>
      <c r="E27" s="3"/>
      <c r="F27" s="3"/>
      <c r="G27" s="17"/>
      <c r="H27" s="3"/>
      <c r="I27" s="63"/>
      <c r="J27" s="3"/>
      <c r="K27" s="3"/>
      <c r="L27" s="17"/>
      <c r="M27" s="17"/>
      <c r="N27" s="63"/>
      <c r="O27" s="3"/>
      <c r="P27" s="3"/>
      <c r="Q27" s="3"/>
      <c r="R27" s="86"/>
      <c r="S27" s="138"/>
      <c r="T27" s="134"/>
      <c r="U27" s="134"/>
      <c r="V27" s="134"/>
      <c r="W27" s="135"/>
      <c r="X27" s="138"/>
      <c r="Y27" s="134"/>
      <c r="Z27" s="134"/>
      <c r="AA27" s="134"/>
      <c r="AB27" s="86"/>
      <c r="AC27" s="138"/>
      <c r="AD27" s="134"/>
      <c r="AE27" s="86">
        <f t="shared" si="4"/>
        <v>0</v>
      </c>
    </row>
    <row r="28" spans="1:31" s="21" customFormat="1" ht="15">
      <c r="A28" s="1"/>
      <c r="B28" s="20" t="s">
        <v>10</v>
      </c>
      <c r="C28" s="26">
        <v>-2</v>
      </c>
      <c r="D28" s="63">
        <v>-13.4</v>
      </c>
      <c r="E28" s="3">
        <v>-10.1</v>
      </c>
      <c r="F28" s="3">
        <v>-15.6</v>
      </c>
      <c r="G28" s="17">
        <v>-13.4</v>
      </c>
      <c r="H28" s="3">
        <v>-52.5</v>
      </c>
      <c r="I28" s="63">
        <v>-9.8000000000000007</v>
      </c>
      <c r="J28" s="3">
        <v>-13.1</v>
      </c>
      <c r="K28" s="3">
        <v>-17.2</v>
      </c>
      <c r="L28" s="17">
        <v>-16.3</v>
      </c>
      <c r="M28" s="17">
        <f>SUM(I28:L28)</f>
        <v>-56.399999999999991</v>
      </c>
      <c r="N28" s="63">
        <v>-14.9</v>
      </c>
      <c r="O28" s="3">
        <v>-14.6</v>
      </c>
      <c r="P28" s="3">
        <v>-13.1</v>
      </c>
      <c r="Q28" s="3">
        <v>-14.7</v>
      </c>
      <c r="R28" s="86">
        <f t="shared" ref="R28:R32" si="6">SUM(N28:Q28)</f>
        <v>-57.3</v>
      </c>
      <c r="S28" s="63">
        <v>-16</v>
      </c>
      <c r="T28" s="3">
        <v>-15.9</v>
      </c>
      <c r="U28" s="3">
        <v>-24.3</v>
      </c>
      <c r="V28" s="3">
        <v>-12</v>
      </c>
      <c r="W28" s="86">
        <f>SUM(S28:V28)</f>
        <v>-68.2</v>
      </c>
      <c r="X28" s="63">
        <v>-24.7</v>
      </c>
      <c r="Y28" s="3">
        <v>-28.9</v>
      </c>
      <c r="Z28" s="3">
        <v>-23.6</v>
      </c>
      <c r="AA28" s="3">
        <v>-23.9</v>
      </c>
      <c r="AB28" s="86">
        <f>SUM(X28:AA28)</f>
        <v>-101.1</v>
      </c>
      <c r="AC28" s="63">
        <v>-35.5</v>
      </c>
      <c r="AD28" s="3">
        <v>-29.7</v>
      </c>
      <c r="AE28" s="88">
        <f t="shared" si="4"/>
        <v>-65.2</v>
      </c>
    </row>
    <row r="29" spans="1:31" s="21" customFormat="1">
      <c r="A29" s="1"/>
      <c r="B29" s="94" t="s">
        <v>34</v>
      </c>
      <c r="C29" s="7"/>
      <c r="D29" s="70">
        <v>0</v>
      </c>
      <c r="E29" s="71">
        <v>0</v>
      </c>
      <c r="F29" s="67" t="s">
        <v>20</v>
      </c>
      <c r="G29" s="72">
        <v>0</v>
      </c>
      <c r="H29" s="71">
        <v>0</v>
      </c>
      <c r="I29" s="63">
        <v>0</v>
      </c>
      <c r="J29" s="3">
        <v>-1.7</v>
      </c>
      <c r="K29" s="3">
        <v>-3</v>
      </c>
      <c r="L29" s="17">
        <v>-5.3</v>
      </c>
      <c r="M29" s="72">
        <v>-10</v>
      </c>
      <c r="N29" s="63">
        <v>0</v>
      </c>
      <c r="O29" s="3">
        <v>0</v>
      </c>
      <c r="P29" s="3">
        <v>0</v>
      </c>
      <c r="Q29" s="3">
        <v>0</v>
      </c>
      <c r="R29" s="86">
        <f t="shared" si="6"/>
        <v>0</v>
      </c>
      <c r="S29" s="63">
        <v>0</v>
      </c>
      <c r="T29" s="3">
        <v>0</v>
      </c>
      <c r="U29" s="3">
        <v>0</v>
      </c>
      <c r="V29" s="3">
        <v>0</v>
      </c>
      <c r="W29" s="86">
        <f>SUM(S29:V29)</f>
        <v>0</v>
      </c>
      <c r="X29" s="63">
        <v>0</v>
      </c>
      <c r="Y29" s="3">
        <v>0</v>
      </c>
      <c r="Z29" s="3">
        <v>0</v>
      </c>
      <c r="AA29" s="3">
        <v>0</v>
      </c>
      <c r="AB29" s="86">
        <f>SUM(X29:AA29)</f>
        <v>0</v>
      </c>
      <c r="AC29" s="63">
        <v>0</v>
      </c>
      <c r="AD29" s="3">
        <v>0</v>
      </c>
      <c r="AE29" s="86">
        <f t="shared" si="4"/>
        <v>0</v>
      </c>
    </row>
    <row r="30" spans="1:31" s="21" customFormat="1">
      <c r="A30" s="1"/>
      <c r="B30" s="20" t="s">
        <v>2</v>
      </c>
      <c r="C30" s="7"/>
      <c r="D30" s="63">
        <v>20.6</v>
      </c>
      <c r="E30" s="3">
        <v>-17.2</v>
      </c>
      <c r="F30" s="3">
        <v>35.6</v>
      </c>
      <c r="G30" s="17">
        <v>1.4</v>
      </c>
      <c r="H30" s="3">
        <v>40.4</v>
      </c>
      <c r="I30" s="63">
        <v>-3.9</v>
      </c>
      <c r="J30" s="3">
        <v>-6.6</v>
      </c>
      <c r="K30" s="3">
        <v>47</v>
      </c>
      <c r="L30" s="17">
        <v>-192.9</v>
      </c>
      <c r="M30" s="17">
        <v>-156.4</v>
      </c>
      <c r="N30" s="63">
        <v>25.1</v>
      </c>
      <c r="O30" s="3">
        <v>14.2</v>
      </c>
      <c r="P30" s="3">
        <v>12.1</v>
      </c>
      <c r="Q30" s="3">
        <v>-73.400000000000006</v>
      </c>
      <c r="R30" s="86">
        <f t="shared" si="6"/>
        <v>-22.000000000000007</v>
      </c>
      <c r="S30" s="138">
        <v>8.5</v>
      </c>
      <c r="T30" s="134">
        <v>18.8</v>
      </c>
      <c r="U30" s="3">
        <v>-18.5</v>
      </c>
      <c r="V30" s="3">
        <v>-67</v>
      </c>
      <c r="W30" s="86">
        <f>SUM(S30:V30)</f>
        <v>-58.2</v>
      </c>
      <c r="X30" s="63">
        <v>-63.7</v>
      </c>
      <c r="Y30" s="3">
        <v>-16.3</v>
      </c>
      <c r="Z30" s="3">
        <v>-35.799999999999997</v>
      </c>
      <c r="AA30" s="3">
        <v>-28.1</v>
      </c>
      <c r="AB30" s="86">
        <f>SUM(X30:AA30)</f>
        <v>-143.9</v>
      </c>
      <c r="AC30" s="63">
        <v>2.8</v>
      </c>
      <c r="AD30" s="3">
        <v>9.6</v>
      </c>
      <c r="AE30" s="88">
        <f t="shared" si="4"/>
        <v>12.399999999999999</v>
      </c>
    </row>
    <row r="31" spans="1:31" s="21" customFormat="1">
      <c r="A31" s="8"/>
      <c r="B31" s="73" t="s">
        <v>11</v>
      </c>
      <c r="C31" s="148"/>
      <c r="D31" s="124">
        <v>-0.4</v>
      </c>
      <c r="E31" s="84">
        <v>-0.4</v>
      </c>
      <c r="F31" s="84">
        <v>-0.4</v>
      </c>
      <c r="G31" s="66">
        <v>-0.3</v>
      </c>
      <c r="H31" s="125">
        <v>-1.5000000000000002</v>
      </c>
      <c r="I31" s="124">
        <v>-0.4</v>
      </c>
      <c r="J31" s="84">
        <v>-0.4</v>
      </c>
      <c r="K31" s="84">
        <v>-0.5</v>
      </c>
      <c r="L31" s="66">
        <v>-0.6</v>
      </c>
      <c r="M31" s="66">
        <v>-1.9</v>
      </c>
      <c r="N31" s="124">
        <v>-0.3</v>
      </c>
      <c r="O31" s="84">
        <v>-0.4</v>
      </c>
      <c r="P31" s="84">
        <v>-0.4</v>
      </c>
      <c r="Q31" s="84">
        <v>-0.4</v>
      </c>
      <c r="R31" s="125">
        <f t="shared" si="6"/>
        <v>-1.5</v>
      </c>
      <c r="S31" s="124">
        <v>-0.4</v>
      </c>
      <c r="T31" s="84">
        <v>-0.4</v>
      </c>
      <c r="U31" s="84">
        <v>-0.5</v>
      </c>
      <c r="V31" s="84">
        <v>-0.4</v>
      </c>
      <c r="W31" s="125">
        <f>SUM(S31:V31)</f>
        <v>-1.7000000000000002</v>
      </c>
      <c r="X31" s="124">
        <v>-0.3</v>
      </c>
      <c r="Y31" s="84">
        <v>-0.3</v>
      </c>
      <c r="Z31" s="84">
        <v>-0.3</v>
      </c>
      <c r="AA31" s="84">
        <v>-0.3</v>
      </c>
      <c r="AB31" s="125">
        <f>SUM(X31:AA31)</f>
        <v>-1.2</v>
      </c>
      <c r="AC31" s="124">
        <v>-0.3</v>
      </c>
      <c r="AD31" s="84">
        <v>-0.3</v>
      </c>
      <c r="AE31" s="87">
        <f t="shared" si="4"/>
        <v>-0.6</v>
      </c>
    </row>
    <row r="32" spans="1:31" s="21" customFormat="1">
      <c r="A32" s="1"/>
      <c r="B32" s="24" t="s">
        <v>12</v>
      </c>
      <c r="C32" s="7"/>
      <c r="D32" s="54">
        <v>117.79999999999998</v>
      </c>
      <c r="E32" s="55">
        <v>88.5</v>
      </c>
      <c r="F32" s="55">
        <v>108.70000000000002</v>
      </c>
      <c r="G32" s="56">
        <v>78.199999999999989</v>
      </c>
      <c r="H32" s="147">
        <v>393.2</v>
      </c>
      <c r="I32" s="54">
        <v>84</v>
      </c>
      <c r="J32" s="55">
        <v>97.100000000000023</v>
      </c>
      <c r="K32" s="55">
        <v>143.89999999999998</v>
      </c>
      <c r="L32" s="56">
        <v>-95.799999999999983</v>
      </c>
      <c r="M32" s="56">
        <v>229.20000000000002</v>
      </c>
      <c r="N32" s="54">
        <f>SUM(N20:N31)</f>
        <v>131.89999999999998</v>
      </c>
      <c r="O32" s="55">
        <f>SUM(O20:O31)</f>
        <v>99.5</v>
      </c>
      <c r="P32" s="55">
        <f>SUM(P20:P31)</f>
        <v>97.499999999999986</v>
      </c>
      <c r="Q32" s="55">
        <f>SUM(Q20:Q31)</f>
        <v>22.699999999999982</v>
      </c>
      <c r="R32" s="88">
        <f t="shared" si="6"/>
        <v>351.59999999999997</v>
      </c>
      <c r="S32" s="136">
        <f t="shared" ref="S32:AC32" si="7">SUM(S20:S31)</f>
        <v>132.50000000000003</v>
      </c>
      <c r="T32" s="134">
        <f t="shared" si="7"/>
        <v>152.6</v>
      </c>
      <c r="U32" s="134">
        <f t="shared" si="7"/>
        <v>88.2</v>
      </c>
      <c r="V32" s="56">
        <f t="shared" si="7"/>
        <v>-30.800000000000033</v>
      </c>
      <c r="W32" s="135">
        <f t="shared" si="7"/>
        <v>342.50000000000006</v>
      </c>
      <c r="X32" s="136">
        <f t="shared" si="7"/>
        <v>49.800000000000026</v>
      </c>
      <c r="Y32" s="55">
        <f t="shared" si="7"/>
        <v>146.49999999999997</v>
      </c>
      <c r="Z32" s="55">
        <f t="shared" si="7"/>
        <v>131.80000000000001</v>
      </c>
      <c r="AA32" s="55">
        <f t="shared" si="7"/>
        <v>144.69999999999996</v>
      </c>
      <c r="AB32" s="135">
        <f t="shared" si="7"/>
        <v>472.80000000000013</v>
      </c>
      <c r="AC32" s="136">
        <f t="shared" si="7"/>
        <v>183.00000000000003</v>
      </c>
      <c r="AD32" s="55">
        <f>SUM(AD20:AD31)</f>
        <v>214.99999999999997</v>
      </c>
      <c r="AE32" s="135">
        <f>SUM(AE20:AE31)</f>
        <v>398</v>
      </c>
    </row>
    <row r="33" spans="1:31" s="21" customFormat="1" ht="15">
      <c r="A33" s="1"/>
      <c r="B33" s="77"/>
      <c r="C33" s="102"/>
      <c r="D33" s="109"/>
      <c r="E33" s="110"/>
      <c r="F33" s="110"/>
      <c r="G33" s="113"/>
      <c r="H33" s="112"/>
      <c r="I33" s="109"/>
      <c r="J33" s="110"/>
      <c r="K33" s="110"/>
      <c r="L33" s="113"/>
      <c r="M33" s="113"/>
      <c r="N33" s="109"/>
      <c r="O33" s="110"/>
      <c r="P33" s="110"/>
      <c r="Q33" s="113"/>
      <c r="R33" s="128"/>
      <c r="S33" s="139"/>
      <c r="T33" s="134"/>
      <c r="U33" s="134"/>
      <c r="V33" s="134"/>
      <c r="W33" s="135"/>
      <c r="X33" s="139"/>
      <c r="Y33" s="134"/>
      <c r="Z33" s="134"/>
      <c r="AA33" s="134"/>
      <c r="AB33" s="135"/>
      <c r="AC33" s="139"/>
      <c r="AD33" s="134"/>
      <c r="AE33" s="165"/>
    </row>
    <row r="34" spans="1:31" s="21" customFormat="1" ht="15">
      <c r="A34" s="1"/>
      <c r="B34" s="77" t="s">
        <v>13</v>
      </c>
      <c r="C34" s="7"/>
      <c r="D34" s="68"/>
      <c r="E34" s="40"/>
      <c r="F34" s="40"/>
      <c r="G34" s="41"/>
      <c r="H34" s="55"/>
      <c r="I34" s="68"/>
      <c r="J34" s="40"/>
      <c r="K34" s="40"/>
      <c r="L34" s="41"/>
      <c r="M34" s="41"/>
      <c r="N34" s="68"/>
      <c r="O34" s="40"/>
      <c r="P34" s="40"/>
      <c r="Q34" s="41"/>
      <c r="R34" s="93"/>
      <c r="S34" s="133"/>
      <c r="T34" s="134"/>
      <c r="U34" s="134"/>
      <c r="V34" s="134"/>
      <c r="W34" s="135"/>
      <c r="X34" s="133"/>
      <c r="Y34" s="134"/>
      <c r="Z34" s="134"/>
      <c r="AA34" s="134"/>
      <c r="AB34" s="135"/>
      <c r="AC34" s="133"/>
      <c r="AD34" s="134"/>
      <c r="AE34" s="163"/>
    </row>
    <row r="35" spans="1:31" s="21" customFormat="1">
      <c r="A35" s="1"/>
      <c r="B35" s="19" t="s">
        <v>2</v>
      </c>
      <c r="C35" s="7"/>
      <c r="D35" s="54">
        <v>-20.6</v>
      </c>
      <c r="E35" s="55">
        <v>17.2</v>
      </c>
      <c r="F35" s="55">
        <v>-35.6</v>
      </c>
      <c r="G35" s="56">
        <v>-1.4</v>
      </c>
      <c r="H35" s="55">
        <v>-40.4</v>
      </c>
      <c r="I35" s="63">
        <v>3.9</v>
      </c>
      <c r="J35" s="3">
        <v>6.6</v>
      </c>
      <c r="K35" s="3">
        <v>-47</v>
      </c>
      <c r="L35" s="17">
        <v>192.9</v>
      </c>
      <c r="M35" s="56">
        <v>156.4</v>
      </c>
      <c r="N35" s="63">
        <f t="shared" ref="N35:P36" si="8">-N30</f>
        <v>-25.1</v>
      </c>
      <c r="O35" s="3">
        <f t="shared" si="8"/>
        <v>-14.2</v>
      </c>
      <c r="P35" s="3">
        <f t="shared" si="8"/>
        <v>-12.1</v>
      </c>
      <c r="Q35" s="17">
        <v>73.400000000000006</v>
      </c>
      <c r="R35" s="86">
        <f>SUM(N35:Q35)</f>
        <v>22.000000000000007</v>
      </c>
      <c r="S35" s="63">
        <f t="shared" ref="S35:V36" si="9">-S30</f>
        <v>-8.5</v>
      </c>
      <c r="T35" s="3">
        <f t="shared" si="9"/>
        <v>-18.8</v>
      </c>
      <c r="U35" s="3">
        <f t="shared" si="9"/>
        <v>18.5</v>
      </c>
      <c r="V35" s="3">
        <f t="shared" si="9"/>
        <v>67</v>
      </c>
      <c r="W35" s="86">
        <f t="shared" ref="W35:W39" si="10">SUM(S35:V35)</f>
        <v>58.2</v>
      </c>
      <c r="X35" s="63">
        <f>-X30</f>
        <v>63.7</v>
      </c>
      <c r="Y35" s="3">
        <f t="shared" ref="Y35:AA35" si="11">-Y30</f>
        <v>16.3</v>
      </c>
      <c r="Z35" s="3">
        <f t="shared" si="11"/>
        <v>35.799999999999997</v>
      </c>
      <c r="AA35" s="3">
        <f t="shared" si="11"/>
        <v>28.1</v>
      </c>
      <c r="AB35" s="86">
        <f t="shared" ref="AB35:AB39" si="12">SUM(X35:AA35)</f>
        <v>143.9</v>
      </c>
      <c r="AC35" s="63">
        <f>-AC30</f>
        <v>-2.8</v>
      </c>
      <c r="AD35" s="3">
        <f t="shared" ref="AD35" si="13">-AD30</f>
        <v>-9.6</v>
      </c>
      <c r="AE35" s="88">
        <f t="shared" ref="AE35:AE39" si="14">SUM(AC35:AD35)</f>
        <v>-12.399999999999999</v>
      </c>
    </row>
    <row r="36" spans="1:31" s="21" customFormat="1">
      <c r="A36" s="1"/>
      <c r="B36" s="19" t="s">
        <v>11</v>
      </c>
      <c r="C36" s="7"/>
      <c r="D36" s="54">
        <v>0.4</v>
      </c>
      <c r="E36" s="55">
        <v>0.4</v>
      </c>
      <c r="F36" s="55">
        <v>0.4</v>
      </c>
      <c r="G36" s="56">
        <v>0.3</v>
      </c>
      <c r="H36" s="55">
        <v>1.5000000000000002</v>
      </c>
      <c r="I36" s="63">
        <v>0.4</v>
      </c>
      <c r="J36" s="3">
        <v>0.4</v>
      </c>
      <c r="K36" s="3">
        <v>0.5</v>
      </c>
      <c r="L36" s="17">
        <v>0.6</v>
      </c>
      <c r="M36" s="56">
        <v>1.9</v>
      </c>
      <c r="N36" s="63">
        <f t="shared" si="8"/>
        <v>0.3</v>
      </c>
      <c r="O36" s="3">
        <f t="shared" si="8"/>
        <v>0.4</v>
      </c>
      <c r="P36" s="3">
        <f t="shared" si="8"/>
        <v>0.4</v>
      </c>
      <c r="Q36" s="17">
        <v>0.4</v>
      </c>
      <c r="R36" s="86">
        <f>SUM(N36:Q36)</f>
        <v>1.5</v>
      </c>
      <c r="S36" s="138">
        <f t="shared" si="9"/>
        <v>0.4</v>
      </c>
      <c r="T36" s="134">
        <f t="shared" si="9"/>
        <v>0.4</v>
      </c>
      <c r="U36" s="134">
        <f t="shared" si="9"/>
        <v>0.5</v>
      </c>
      <c r="V36" s="134">
        <f t="shared" si="9"/>
        <v>0.4</v>
      </c>
      <c r="W36" s="135">
        <f t="shared" si="10"/>
        <v>1.7000000000000002</v>
      </c>
      <c r="X36" s="138">
        <f>-X31</f>
        <v>0.3</v>
      </c>
      <c r="Y36" s="134">
        <f t="shared" ref="Y36:AA36" si="15">-Y31</f>
        <v>0.3</v>
      </c>
      <c r="Z36" s="134">
        <f t="shared" si="15"/>
        <v>0.3</v>
      </c>
      <c r="AA36" s="134">
        <f t="shared" si="15"/>
        <v>0.3</v>
      </c>
      <c r="AB36" s="86">
        <f t="shared" si="12"/>
        <v>1.2</v>
      </c>
      <c r="AC36" s="138">
        <f>-AC31</f>
        <v>0.3</v>
      </c>
      <c r="AD36" s="134">
        <f t="shared" ref="AD36" si="16">-AD31</f>
        <v>0.3</v>
      </c>
      <c r="AE36" s="88">
        <f t="shared" si="14"/>
        <v>0.6</v>
      </c>
    </row>
    <row r="37" spans="1:31" s="21" customFormat="1">
      <c r="A37" s="1"/>
      <c r="B37" s="19" t="s">
        <v>34</v>
      </c>
      <c r="C37" s="7"/>
      <c r="D37" s="70">
        <v>0</v>
      </c>
      <c r="E37" s="71">
        <v>0</v>
      </c>
      <c r="F37" s="67" t="s">
        <v>20</v>
      </c>
      <c r="G37" s="72">
        <v>0</v>
      </c>
      <c r="H37" s="71">
        <v>0</v>
      </c>
      <c r="I37" s="70">
        <v>0</v>
      </c>
      <c r="J37" s="3">
        <v>1.7</v>
      </c>
      <c r="K37" s="3">
        <v>3</v>
      </c>
      <c r="L37" s="17">
        <v>5.3</v>
      </c>
      <c r="M37" s="72">
        <v>10</v>
      </c>
      <c r="N37" s="70">
        <v>0</v>
      </c>
      <c r="O37" s="71">
        <v>0</v>
      </c>
      <c r="P37" s="67" t="s">
        <v>20</v>
      </c>
      <c r="Q37" s="72">
        <v>0</v>
      </c>
      <c r="R37" s="71">
        <v>0</v>
      </c>
      <c r="S37" s="63">
        <f>-S29</f>
        <v>0</v>
      </c>
      <c r="T37" s="3">
        <f>-T29</f>
        <v>0</v>
      </c>
      <c r="U37" s="3">
        <f>-U29</f>
        <v>0</v>
      </c>
      <c r="V37" s="3">
        <f>-V29</f>
        <v>0</v>
      </c>
      <c r="W37" s="86">
        <f t="shared" si="10"/>
        <v>0</v>
      </c>
      <c r="X37" s="63">
        <f>-X29</f>
        <v>0</v>
      </c>
      <c r="Y37" s="3">
        <f>-Y29</f>
        <v>0</v>
      </c>
      <c r="Z37" s="3">
        <f>-Z29</f>
        <v>0</v>
      </c>
      <c r="AA37" s="3">
        <f>-AA29</f>
        <v>0</v>
      </c>
      <c r="AB37" s="86">
        <f t="shared" si="12"/>
        <v>0</v>
      </c>
      <c r="AC37" s="63">
        <f>-AC29</f>
        <v>0</v>
      </c>
      <c r="AD37" s="3">
        <f>-AD29</f>
        <v>0</v>
      </c>
      <c r="AE37" s="86">
        <f t="shared" si="14"/>
        <v>0</v>
      </c>
    </row>
    <row r="38" spans="1:31" s="21" customFormat="1" ht="15">
      <c r="A38" s="1"/>
      <c r="B38" s="19" t="str">
        <f>B26</f>
        <v>Restructuring expenses</v>
      </c>
      <c r="C38" s="30"/>
      <c r="D38" s="70">
        <v>0</v>
      </c>
      <c r="E38" s="71">
        <v>0</v>
      </c>
      <c r="F38" s="67" t="s">
        <v>20</v>
      </c>
      <c r="G38" s="72">
        <v>0</v>
      </c>
      <c r="H38" s="71">
        <v>0</v>
      </c>
      <c r="I38" s="70">
        <v>0</v>
      </c>
      <c r="J38" s="71">
        <v>0</v>
      </c>
      <c r="K38" s="67" t="s">
        <v>20</v>
      </c>
      <c r="L38" s="72">
        <v>0</v>
      </c>
      <c r="M38" s="71">
        <v>0</v>
      </c>
      <c r="N38" s="70">
        <v>0</v>
      </c>
      <c r="O38" s="71">
        <v>0</v>
      </c>
      <c r="P38" s="67" t="s">
        <v>20</v>
      </c>
      <c r="Q38" s="72">
        <v>0</v>
      </c>
      <c r="R38" s="71">
        <v>0</v>
      </c>
      <c r="S38" s="63">
        <f>-S27</f>
        <v>0</v>
      </c>
      <c r="T38" s="3">
        <f>-T27</f>
        <v>0</v>
      </c>
      <c r="U38" s="3">
        <f>-U27</f>
        <v>0</v>
      </c>
      <c r="V38" s="3">
        <f>-V27</f>
        <v>0</v>
      </c>
      <c r="W38" s="86">
        <f t="shared" ref="W38" si="17">SUM(S38:V38)</f>
        <v>0</v>
      </c>
      <c r="X38" s="63">
        <f>-X26</f>
        <v>11.1</v>
      </c>
      <c r="Y38" s="3">
        <f>-Y27</f>
        <v>0</v>
      </c>
      <c r="Z38" s="3">
        <f>-Z27</f>
        <v>0</v>
      </c>
      <c r="AA38" s="3">
        <f>-AA27</f>
        <v>0</v>
      </c>
      <c r="AB38" s="86">
        <f t="shared" si="12"/>
        <v>11.1</v>
      </c>
      <c r="AC38" s="63">
        <f>-AC26</f>
        <v>0</v>
      </c>
      <c r="AD38" s="3">
        <f>-AD27</f>
        <v>0</v>
      </c>
      <c r="AE38" s="86">
        <f t="shared" si="14"/>
        <v>0</v>
      </c>
    </row>
    <row r="39" spans="1:31" s="21" customFormat="1" ht="15">
      <c r="A39" s="8"/>
      <c r="B39" s="44" t="s">
        <v>59</v>
      </c>
      <c r="C39" s="149"/>
      <c r="D39" s="74">
        <v>0</v>
      </c>
      <c r="E39" s="75">
        <v>0</v>
      </c>
      <c r="F39" s="65" t="s">
        <v>20</v>
      </c>
      <c r="G39" s="76">
        <v>0</v>
      </c>
      <c r="H39" s="76">
        <v>0</v>
      </c>
      <c r="I39" s="74">
        <v>0</v>
      </c>
      <c r="J39" s="75">
        <v>0</v>
      </c>
      <c r="K39" s="65" t="s">
        <v>20</v>
      </c>
      <c r="L39" s="76">
        <v>0</v>
      </c>
      <c r="M39" s="76">
        <v>0</v>
      </c>
      <c r="N39" s="74">
        <v>0</v>
      </c>
      <c r="O39" s="65">
        <f>-O25</f>
        <v>21.2</v>
      </c>
      <c r="P39" s="84">
        <f>-P25</f>
        <v>4.8</v>
      </c>
      <c r="Q39" s="66">
        <v>3.5</v>
      </c>
      <c r="R39" s="125">
        <f>SUM(N39:Q39)</f>
        <v>29.5</v>
      </c>
      <c r="S39" s="124">
        <v>0</v>
      </c>
      <c r="T39" s="84">
        <v>0</v>
      </c>
      <c r="U39" s="84">
        <v>0</v>
      </c>
      <c r="V39" s="84">
        <f>-V25</f>
        <v>84.4</v>
      </c>
      <c r="W39" s="125">
        <f t="shared" si="10"/>
        <v>84.4</v>
      </c>
      <c r="X39" s="124">
        <v>0</v>
      </c>
      <c r="Y39" s="84">
        <f>-Y25</f>
        <v>0</v>
      </c>
      <c r="Z39" s="84">
        <f>-Z25</f>
        <v>0</v>
      </c>
      <c r="AA39" s="84">
        <f>-AA25</f>
        <v>0</v>
      </c>
      <c r="AB39" s="125">
        <f t="shared" si="12"/>
        <v>0</v>
      </c>
      <c r="AC39" s="124">
        <v>0</v>
      </c>
      <c r="AD39" s="84">
        <f>-AD25</f>
        <v>0</v>
      </c>
      <c r="AE39" s="125">
        <f t="shared" si="14"/>
        <v>0</v>
      </c>
    </row>
    <row r="40" spans="1:31" s="21" customFormat="1" ht="15">
      <c r="A40" s="1"/>
      <c r="B40" s="29" t="s">
        <v>14</v>
      </c>
      <c r="C40" s="30">
        <v>-4</v>
      </c>
      <c r="D40" s="54">
        <v>97.6</v>
      </c>
      <c r="E40" s="55">
        <v>106.10000000000001</v>
      </c>
      <c r="F40" s="55">
        <v>73.500000000000028</v>
      </c>
      <c r="G40" s="56">
        <v>77.09999999999998</v>
      </c>
      <c r="H40" s="55">
        <v>354.3</v>
      </c>
      <c r="I40" s="63">
        <v>88.3</v>
      </c>
      <c r="J40" s="3">
        <v>105.80000000000003</v>
      </c>
      <c r="K40" s="3">
        <v>100.39999999999998</v>
      </c>
      <c r="L40" s="17">
        <v>103.00000000000003</v>
      </c>
      <c r="M40" s="56">
        <v>397.5</v>
      </c>
      <c r="N40" s="63">
        <f t="shared" ref="N40:AE40" si="18">SUM(N32:N39)</f>
        <v>107.09999999999998</v>
      </c>
      <c r="O40" s="3">
        <f t="shared" si="18"/>
        <v>106.9</v>
      </c>
      <c r="P40" s="3">
        <f t="shared" si="18"/>
        <v>90.6</v>
      </c>
      <c r="Q40" s="3">
        <f t="shared" si="18"/>
        <v>100</v>
      </c>
      <c r="R40" s="86">
        <f t="shared" si="18"/>
        <v>404.59999999999997</v>
      </c>
      <c r="S40" s="138">
        <f t="shared" si="18"/>
        <v>124.40000000000003</v>
      </c>
      <c r="T40" s="134">
        <f t="shared" si="18"/>
        <v>134.19999999999999</v>
      </c>
      <c r="U40" s="134">
        <f t="shared" si="18"/>
        <v>107.2</v>
      </c>
      <c r="V40" s="56">
        <f t="shared" si="18"/>
        <v>120.99999999999997</v>
      </c>
      <c r="W40" s="135">
        <f t="shared" si="18"/>
        <v>486.80000000000007</v>
      </c>
      <c r="X40" s="138">
        <f t="shared" si="18"/>
        <v>124.90000000000002</v>
      </c>
      <c r="Y40" s="55">
        <f t="shared" si="18"/>
        <v>163.1</v>
      </c>
      <c r="Z40" s="55">
        <f t="shared" si="18"/>
        <v>167.90000000000003</v>
      </c>
      <c r="AA40" s="55">
        <f t="shared" si="18"/>
        <v>173.09999999999997</v>
      </c>
      <c r="AB40" s="161">
        <f t="shared" si="18"/>
        <v>629.00000000000023</v>
      </c>
      <c r="AC40" s="138">
        <f t="shared" si="18"/>
        <v>180.50000000000003</v>
      </c>
      <c r="AD40" s="55">
        <f>SUM(AD32:AD39)</f>
        <v>205.7</v>
      </c>
      <c r="AE40" s="161">
        <f t="shared" si="18"/>
        <v>386.20000000000005</v>
      </c>
    </row>
    <row r="41" spans="1:31" s="21" customFormat="1">
      <c r="A41" s="1"/>
      <c r="B41" s="29"/>
      <c r="C41" s="102"/>
      <c r="D41" s="114"/>
      <c r="E41" s="112"/>
      <c r="F41" s="112"/>
      <c r="G41" s="111"/>
      <c r="H41" s="112"/>
      <c r="I41" s="114"/>
      <c r="J41" s="112"/>
      <c r="K41" s="112"/>
      <c r="L41" s="111"/>
      <c r="M41" s="111"/>
      <c r="N41" s="114"/>
      <c r="O41" s="112"/>
      <c r="P41" s="112"/>
      <c r="Q41" s="111"/>
      <c r="R41" s="115"/>
      <c r="S41" s="138"/>
      <c r="T41" s="134"/>
      <c r="U41" s="134"/>
      <c r="V41" s="134"/>
      <c r="W41" s="135"/>
      <c r="X41" s="138"/>
      <c r="Y41" s="134"/>
      <c r="Z41" s="134"/>
      <c r="AA41" s="134"/>
      <c r="AB41" s="135"/>
      <c r="AC41" s="138"/>
      <c r="AD41" s="134"/>
      <c r="AE41" s="164"/>
    </row>
    <row r="42" spans="1:31" s="21" customFormat="1" ht="15">
      <c r="A42" s="1"/>
      <c r="B42" s="34" t="s">
        <v>18</v>
      </c>
      <c r="C42" s="30">
        <v>-4</v>
      </c>
      <c r="D42" s="116">
        <v>0.20399999999999999</v>
      </c>
      <c r="E42" s="85">
        <v>0.214</v>
      </c>
      <c r="F42" s="85">
        <v>0.16200000000000001</v>
      </c>
      <c r="G42" s="80">
        <v>0.156</v>
      </c>
      <c r="H42" s="85">
        <v>0.18437760199833472</v>
      </c>
      <c r="I42" s="116">
        <v>0.17399999999999999</v>
      </c>
      <c r="J42" s="85">
        <v>0.20121719284899209</v>
      </c>
      <c r="K42" s="85">
        <v>0.20278731569379918</v>
      </c>
      <c r="L42" s="80">
        <v>0.19600000000000001</v>
      </c>
      <c r="M42" s="80">
        <v>0.19347773180822583</v>
      </c>
      <c r="N42" s="116">
        <f t="shared" ref="N42:AD42" si="19">N40/N15</f>
        <v>0.16451612903225804</v>
      </c>
      <c r="O42" s="85">
        <f t="shared" si="19"/>
        <v>0.16583928017375119</v>
      </c>
      <c r="P42" s="85">
        <f t="shared" si="19"/>
        <v>0.15455475946775846</v>
      </c>
      <c r="Q42" s="85">
        <f t="shared" si="19"/>
        <v>0.16005121638924458</v>
      </c>
      <c r="R42" s="129">
        <f t="shared" si="19"/>
        <v>0.16141386739009017</v>
      </c>
      <c r="S42" s="116">
        <f t="shared" si="19"/>
        <v>0.18940316686967121</v>
      </c>
      <c r="T42" s="85">
        <f t="shared" si="19"/>
        <v>0.20330252991970912</v>
      </c>
      <c r="U42" s="85">
        <f t="shared" si="19"/>
        <v>0.17382844170585374</v>
      </c>
      <c r="V42" s="85">
        <f t="shared" si="19"/>
        <v>0.17973856209150324</v>
      </c>
      <c r="W42" s="129">
        <f t="shared" si="19"/>
        <v>0.18674236611938011</v>
      </c>
      <c r="X42" s="116">
        <f t="shared" si="19"/>
        <v>0.19942519559316624</v>
      </c>
      <c r="Y42" s="85">
        <f t="shared" si="19"/>
        <v>0.22136264929424534</v>
      </c>
      <c r="Z42" s="85">
        <f t="shared" si="19"/>
        <v>0.22732196046574604</v>
      </c>
      <c r="AA42" s="85">
        <f t="shared" si="19"/>
        <v>0.21449814126394048</v>
      </c>
      <c r="AB42" s="129">
        <f t="shared" si="19"/>
        <v>0.21624780829924026</v>
      </c>
      <c r="AC42" s="116">
        <f t="shared" si="19"/>
        <v>0.21404008063559826</v>
      </c>
      <c r="AD42" s="85">
        <f t="shared" si="19"/>
        <v>0.22774579273693535</v>
      </c>
      <c r="AE42" s="129">
        <f t="shared" ref="AE42" si="20">AE40/AE15</f>
        <v>0.22112797022616662</v>
      </c>
    </row>
    <row r="43" spans="1:31" s="21" customFormat="1" ht="15">
      <c r="A43" s="1"/>
      <c r="B43" s="1"/>
      <c r="C43" s="102"/>
      <c r="D43" s="109"/>
      <c r="E43" s="110"/>
      <c r="F43" s="110"/>
      <c r="G43" s="113"/>
      <c r="H43" s="112"/>
      <c r="I43" s="109"/>
      <c r="J43" s="110"/>
      <c r="K43" s="110"/>
      <c r="L43" s="113"/>
      <c r="M43" s="113"/>
      <c r="N43" s="109"/>
      <c r="O43" s="110"/>
      <c r="P43" s="110"/>
      <c r="Q43" s="113"/>
      <c r="R43" s="128"/>
      <c r="S43" s="139"/>
      <c r="T43" s="134"/>
      <c r="U43" s="134"/>
      <c r="V43" s="134"/>
      <c r="W43" s="128"/>
      <c r="X43" s="139"/>
      <c r="Y43" s="134"/>
      <c r="Z43" s="134"/>
      <c r="AA43" s="134"/>
      <c r="AB43" s="128"/>
      <c r="AC43" s="139"/>
      <c r="AD43" s="134"/>
      <c r="AE43" s="128"/>
    </row>
    <row r="44" spans="1:31" s="21" customFormat="1" ht="15">
      <c r="A44" s="1"/>
      <c r="B44" s="37" t="s">
        <v>37</v>
      </c>
      <c r="C44" s="26">
        <v>-2</v>
      </c>
      <c r="D44" s="116">
        <v>0.255</v>
      </c>
      <c r="E44" s="85">
        <v>0.254</v>
      </c>
      <c r="F44" s="85">
        <v>0.215</v>
      </c>
      <c r="G44" s="80">
        <v>0.19600000000000001</v>
      </c>
      <c r="H44" s="85">
        <v>0.23027989821882952</v>
      </c>
      <c r="I44" s="116">
        <v>0.20300000000000001</v>
      </c>
      <c r="J44" s="85">
        <v>0.245</v>
      </c>
      <c r="K44" s="85">
        <v>0.26900000000000002</v>
      </c>
      <c r="L44" s="80">
        <v>0.252</v>
      </c>
      <c r="M44" s="80">
        <v>0.24199987326531905</v>
      </c>
      <c r="N44" s="116">
        <f t="shared" ref="N44:S46" si="21">N20/N11</f>
        <v>0.24711848778238821</v>
      </c>
      <c r="O44" s="85">
        <f t="shared" si="21"/>
        <v>0.22842056932966023</v>
      </c>
      <c r="P44" s="85">
        <f t="shared" si="21"/>
        <v>0.22334630350194551</v>
      </c>
      <c r="Q44" s="85">
        <f t="shared" si="21"/>
        <v>0.22535545023696682</v>
      </c>
      <c r="R44" s="129">
        <f t="shared" si="21"/>
        <v>0.23131969706005126</v>
      </c>
      <c r="S44" s="116">
        <f t="shared" si="21"/>
        <v>0.25093964183064338</v>
      </c>
      <c r="T44" s="85">
        <v>0.27100000000000002</v>
      </c>
      <c r="U44" s="85">
        <f t="shared" ref="U44:AC44" si="22">U20/U11</f>
        <v>0.2611627906976744</v>
      </c>
      <c r="V44" s="85">
        <f t="shared" si="22"/>
        <v>0.25289778714436251</v>
      </c>
      <c r="W44" s="129">
        <f t="shared" si="22"/>
        <v>0.25902884827130584</v>
      </c>
      <c r="X44" s="116">
        <f t="shared" si="22"/>
        <v>0.28972996901283754</v>
      </c>
      <c r="Y44" s="85">
        <f t="shared" si="22"/>
        <v>0.28854368932038832</v>
      </c>
      <c r="Z44" s="85">
        <f t="shared" si="22"/>
        <v>0.30032812198417291</v>
      </c>
      <c r="AA44" s="85">
        <f t="shared" si="22"/>
        <v>0.27534665946335313</v>
      </c>
      <c r="AB44" s="129">
        <f t="shared" si="22"/>
        <v>0.28820703852563473</v>
      </c>
      <c r="AC44" s="116">
        <f t="shared" si="22"/>
        <v>0.29336336856697282</v>
      </c>
      <c r="AD44" s="85">
        <f t="shared" ref="AD44" si="23">AD20/AD11</f>
        <v>0.28726585864945697</v>
      </c>
      <c r="AE44" s="129">
        <f t="shared" ref="AE44" si="24">AE20/AE11</f>
        <v>0.29016826129990103</v>
      </c>
    </row>
    <row r="45" spans="1:31" s="21" customFormat="1" ht="15">
      <c r="A45" s="1"/>
      <c r="B45" s="37" t="s">
        <v>38</v>
      </c>
      <c r="C45" s="26">
        <v>-3</v>
      </c>
      <c r="D45" s="116">
        <v>0.251</v>
      </c>
      <c r="E45" s="85">
        <v>0.26400000000000001</v>
      </c>
      <c r="F45" s="85">
        <v>0.249</v>
      </c>
      <c r="G45" s="80">
        <v>0.247</v>
      </c>
      <c r="H45" s="85">
        <v>0.25310307609282245</v>
      </c>
      <c r="I45" s="116">
        <v>0.26</v>
      </c>
      <c r="J45" s="85">
        <v>0.26900000000000002</v>
      </c>
      <c r="K45" s="85">
        <v>0.23599999999999999</v>
      </c>
      <c r="L45" s="80">
        <v>0.25</v>
      </c>
      <c r="M45" s="80">
        <v>0.2541137752703338</v>
      </c>
      <c r="N45" s="116">
        <f t="shared" si="21"/>
        <v>0.24167378309137491</v>
      </c>
      <c r="O45" s="85">
        <f t="shared" si="21"/>
        <v>0.23444160272804776</v>
      </c>
      <c r="P45" s="85">
        <f t="shared" si="21"/>
        <v>0.21344232515894643</v>
      </c>
      <c r="Q45" s="85">
        <f t="shared" si="21"/>
        <v>0.20039100684261976</v>
      </c>
      <c r="R45" s="129">
        <f t="shared" si="21"/>
        <v>0.22336615935541629</v>
      </c>
      <c r="S45" s="116">
        <f t="shared" si="21"/>
        <v>0.22962962962962963</v>
      </c>
      <c r="T45" s="85">
        <v>0.24</v>
      </c>
      <c r="U45" s="85">
        <f t="shared" ref="U45:AC45" si="25">U21/U12</f>
        <v>0.22941176470588234</v>
      </c>
      <c r="V45" s="85">
        <f t="shared" si="25"/>
        <v>0.20459290187891443</v>
      </c>
      <c r="W45" s="129">
        <f t="shared" si="25"/>
        <v>0.22657743785850853</v>
      </c>
      <c r="X45" s="116">
        <f t="shared" si="25"/>
        <v>0.24424972617743704</v>
      </c>
      <c r="Y45" s="85">
        <f t="shared" si="25"/>
        <v>0.31695331695331697</v>
      </c>
      <c r="Z45" s="85">
        <f t="shared" si="25"/>
        <v>0.28127623845507976</v>
      </c>
      <c r="AA45" s="85">
        <f t="shared" si="25"/>
        <v>0.26809864757358787</v>
      </c>
      <c r="AB45" s="129">
        <f t="shared" si="25"/>
        <v>0.27979048450458316</v>
      </c>
      <c r="AC45" s="116">
        <f t="shared" si="25"/>
        <v>0.27362482369534552</v>
      </c>
      <c r="AD45" s="85">
        <f t="shared" ref="AD45" si="26">AD21/AD12</f>
        <v>0.30817174515235457</v>
      </c>
      <c r="AE45" s="176">
        <v>0.29199999999999998</v>
      </c>
    </row>
    <row r="46" spans="1:31" s="21" customFormat="1" ht="15">
      <c r="A46" s="1"/>
      <c r="B46" s="37" t="s">
        <v>61</v>
      </c>
      <c r="C46" s="26">
        <v>-6</v>
      </c>
      <c r="D46" s="116">
        <v>7.2999999999999995E-2</v>
      </c>
      <c r="E46" s="85">
        <v>0.02</v>
      </c>
      <c r="F46" s="85">
        <v>-0.08</v>
      </c>
      <c r="G46" s="80">
        <v>8.8999999999999996E-2</v>
      </c>
      <c r="H46" s="85">
        <v>3.1553398058252427E-2</v>
      </c>
      <c r="I46" s="116">
        <v>-2.1999999999999999E-2</v>
      </c>
      <c r="J46" s="85">
        <v>2.9000000000000001E-2</v>
      </c>
      <c r="K46" s="85">
        <v>5.3999999999999999E-2</v>
      </c>
      <c r="L46" s="80">
        <v>-4.1000000000000002E-2</v>
      </c>
      <c r="M46" s="80">
        <v>8.2644628099173539E-3</v>
      </c>
      <c r="N46" s="116">
        <f t="shared" si="21"/>
        <v>-4.8218029350104816E-2</v>
      </c>
      <c r="O46" s="85">
        <f t="shared" si="21"/>
        <v>3.8901601830663615E-2</v>
      </c>
      <c r="P46" s="85">
        <f t="shared" si="21"/>
        <v>4.7235023041474651E-2</v>
      </c>
      <c r="Q46" s="85">
        <f t="shared" si="21"/>
        <v>7.1935157041540021E-2</v>
      </c>
      <c r="R46" s="129">
        <f t="shared" si="21"/>
        <v>2.7151778441487917E-2</v>
      </c>
      <c r="S46" s="116">
        <f t="shared" si="21"/>
        <v>8.2377476538060476E-2</v>
      </c>
      <c r="T46" s="85">
        <v>6.6000000000000003E-2</v>
      </c>
      <c r="U46" s="85">
        <f t="shared" ref="U46:AC46" si="27">U22/U13</f>
        <v>2.8335301062573787E-2</v>
      </c>
      <c r="V46" s="85">
        <f t="shared" si="27"/>
        <v>5.8309037900874626E-3</v>
      </c>
      <c r="W46" s="129">
        <f t="shared" si="27"/>
        <v>4.496499730748519E-2</v>
      </c>
      <c r="X46" s="116">
        <f t="shared" si="27"/>
        <v>2.8846153846153844E-2</v>
      </c>
      <c r="Y46" s="85">
        <f t="shared" si="27"/>
        <v>0.11133400200601805</v>
      </c>
      <c r="Z46" s="85">
        <f t="shared" si="27"/>
        <v>0.10157790927021697</v>
      </c>
      <c r="AA46" s="85">
        <f t="shared" si="27"/>
        <v>0.15000000000000002</v>
      </c>
      <c r="AB46" s="129">
        <f t="shared" si="27"/>
        <v>0.10407019254204242</v>
      </c>
      <c r="AC46" s="116">
        <f t="shared" si="27"/>
        <v>0.13102893890675241</v>
      </c>
      <c r="AD46" s="175">
        <v>0.13600000000000001</v>
      </c>
      <c r="AE46" s="129">
        <f t="shared" ref="AE46" si="28">AE22/AE13</f>
        <v>0.13311819281968534</v>
      </c>
    </row>
    <row r="47" spans="1:31" s="21" customFormat="1" ht="15">
      <c r="A47" s="1"/>
      <c r="B47" s="34"/>
      <c r="C47" s="102"/>
      <c r="D47" s="114"/>
      <c r="E47" s="112"/>
      <c r="F47" s="112"/>
      <c r="G47" s="111"/>
      <c r="H47" s="112"/>
      <c r="I47" s="114"/>
      <c r="J47" s="112"/>
      <c r="K47" s="112"/>
      <c r="L47" s="111"/>
      <c r="M47" s="111"/>
      <c r="N47" s="114"/>
      <c r="O47" s="112"/>
      <c r="P47" s="112"/>
      <c r="Q47" s="111"/>
      <c r="R47" s="115"/>
      <c r="S47" s="138"/>
      <c r="T47" s="134"/>
      <c r="U47" s="134"/>
      <c r="V47" s="134"/>
      <c r="W47" s="135"/>
      <c r="X47" s="138"/>
      <c r="Y47" s="134"/>
      <c r="Z47" s="134"/>
      <c r="AA47" s="134"/>
      <c r="AB47" s="135"/>
      <c r="AC47" s="138"/>
      <c r="AD47" s="134"/>
      <c r="AE47" s="164"/>
    </row>
    <row r="48" spans="1:31" s="21" customFormat="1" ht="15">
      <c r="A48" s="1"/>
      <c r="B48" s="34" t="s">
        <v>56</v>
      </c>
      <c r="C48" s="26"/>
      <c r="D48" s="54">
        <v>-6.1</v>
      </c>
      <c r="E48" s="71">
        <v>-7</v>
      </c>
      <c r="F48" s="71">
        <v>-7.2</v>
      </c>
      <c r="G48" s="72">
        <v>-7.2</v>
      </c>
      <c r="H48" s="55">
        <v>-27.5</v>
      </c>
      <c r="I48" s="54">
        <v>-6.5</v>
      </c>
      <c r="J48" s="55">
        <v>-6.8</v>
      </c>
      <c r="K48" s="55">
        <v>-8.3000000000000007</v>
      </c>
      <c r="L48" s="56">
        <v>-7.9</v>
      </c>
      <c r="M48" s="72">
        <v>-29.5</v>
      </c>
      <c r="N48" s="54">
        <v>-10.6</v>
      </c>
      <c r="O48" s="55">
        <f>-13.3+0.8</f>
        <v>-12.5</v>
      </c>
      <c r="P48" s="55">
        <f>-14.9+1.2</f>
        <v>-13.700000000000001</v>
      </c>
      <c r="Q48" s="56">
        <v>-13.3</v>
      </c>
      <c r="R48" s="88">
        <f>SUM(N48:Q48)</f>
        <v>-50.100000000000009</v>
      </c>
      <c r="S48" s="54">
        <v>-13.7</v>
      </c>
      <c r="T48" s="3">
        <v>-14.2</v>
      </c>
      <c r="U48" s="3">
        <v>-13.2</v>
      </c>
      <c r="V48" s="3">
        <v>-13.3</v>
      </c>
      <c r="W48" s="88">
        <f>SUM(S48:V48)</f>
        <v>-54.399999999999991</v>
      </c>
      <c r="X48" s="54">
        <v>-12.6</v>
      </c>
      <c r="Y48" s="3">
        <v>-12.7</v>
      </c>
      <c r="Z48" s="3">
        <v>-13.6</v>
      </c>
      <c r="AA48" s="3">
        <v>-8.9</v>
      </c>
      <c r="AB48" s="88">
        <f>SUM(X48:AA48)</f>
        <v>-47.8</v>
      </c>
      <c r="AC48" s="54">
        <f>-10.2+0.1</f>
        <v>-10.1</v>
      </c>
      <c r="AD48" s="3">
        <v>-10.1</v>
      </c>
      <c r="AE48" s="88">
        <f>SUM(AC48:AD48)</f>
        <v>-20.2</v>
      </c>
    </row>
    <row r="49" spans="1:31" s="21" customFormat="1" ht="15">
      <c r="A49" s="1"/>
      <c r="B49" s="34" t="s">
        <v>74</v>
      </c>
      <c r="C49" s="26"/>
      <c r="D49" s="3">
        <v>0</v>
      </c>
      <c r="E49" s="71">
        <v>0</v>
      </c>
      <c r="F49" s="71">
        <v>0</v>
      </c>
      <c r="G49" s="72">
        <v>0</v>
      </c>
      <c r="H49" s="71">
        <v>0</v>
      </c>
      <c r="I49" s="70">
        <v>0</v>
      </c>
      <c r="J49" s="71">
        <v>0</v>
      </c>
      <c r="K49" s="67">
        <v>0</v>
      </c>
      <c r="L49" s="72">
        <v>0</v>
      </c>
      <c r="M49" s="72">
        <v>0</v>
      </c>
      <c r="N49" s="70">
        <v>0</v>
      </c>
      <c r="O49" s="71">
        <v>0</v>
      </c>
      <c r="P49" s="67" t="s">
        <v>20</v>
      </c>
      <c r="Q49" s="72">
        <v>0</v>
      </c>
      <c r="R49" s="71">
        <f>SUM(N49:Q49)</f>
        <v>0</v>
      </c>
      <c r="S49" s="63">
        <v>0</v>
      </c>
      <c r="T49" s="3">
        <v>0</v>
      </c>
      <c r="U49" s="3">
        <v>0</v>
      </c>
      <c r="V49" s="3">
        <v>0</v>
      </c>
      <c r="W49" s="86">
        <f>SUM(S49:V49)</f>
        <v>0</v>
      </c>
      <c r="X49" s="63">
        <v>0</v>
      </c>
      <c r="Y49" s="3">
        <v>0</v>
      </c>
      <c r="Z49" s="3">
        <v>0</v>
      </c>
      <c r="AA49" s="3">
        <v>-13.1</v>
      </c>
      <c r="AB49" s="88">
        <f>SUM(X49:AA49)</f>
        <v>-13.1</v>
      </c>
      <c r="AC49" s="63">
        <v>0</v>
      </c>
      <c r="AD49" s="3">
        <v>0</v>
      </c>
      <c r="AE49" s="86">
        <f t="shared" ref="AE49:AE53" si="29">SUM(AC49:AD49)</f>
        <v>0</v>
      </c>
    </row>
    <row r="50" spans="1:31" s="21" customFormat="1" ht="15">
      <c r="A50" s="1"/>
      <c r="B50" s="35" t="s">
        <v>54</v>
      </c>
      <c r="C50" s="26"/>
      <c r="D50" s="54">
        <v>-0.7</v>
      </c>
      <c r="E50" s="55">
        <v>0.5</v>
      </c>
      <c r="F50" s="55">
        <v>1.4</v>
      </c>
      <c r="G50" s="56">
        <v>0.1</v>
      </c>
      <c r="H50" s="55">
        <v>1.3</v>
      </c>
      <c r="I50" s="54">
        <v>-0.4</v>
      </c>
      <c r="J50" s="3">
        <v>0</v>
      </c>
      <c r="K50" s="55">
        <v>0.6</v>
      </c>
      <c r="L50" s="56">
        <v>0.5</v>
      </c>
      <c r="M50" s="56">
        <v>0.7</v>
      </c>
      <c r="N50" s="54">
        <v>0.2</v>
      </c>
      <c r="O50" s="55">
        <v>0.1</v>
      </c>
      <c r="P50" s="55">
        <v>-0.2</v>
      </c>
      <c r="Q50" s="72">
        <v>0</v>
      </c>
      <c r="R50" s="88">
        <f>SUM(N50:Q50)</f>
        <v>0.10000000000000003</v>
      </c>
      <c r="S50" s="54">
        <v>-0.2</v>
      </c>
      <c r="T50" s="134">
        <v>0.1</v>
      </c>
      <c r="U50" s="3">
        <v>0</v>
      </c>
      <c r="V50" s="3">
        <v>0</v>
      </c>
      <c r="W50" s="88">
        <f>SUM(S50:V50)</f>
        <v>-0.1</v>
      </c>
      <c r="X50" s="54">
        <v>0.2</v>
      </c>
      <c r="Y50" s="3">
        <v>-0.2</v>
      </c>
      <c r="Z50" s="3">
        <v>0</v>
      </c>
      <c r="AA50" s="3">
        <v>0.1</v>
      </c>
      <c r="AB50" s="86">
        <f>SUM(X50:AA50)</f>
        <v>0.1</v>
      </c>
      <c r="AC50" s="54">
        <v>-0.2</v>
      </c>
      <c r="AD50" s="3">
        <v>0.1</v>
      </c>
      <c r="AE50" s="88">
        <f t="shared" si="29"/>
        <v>-0.1</v>
      </c>
    </row>
    <row r="51" spans="1:31" s="21" customFormat="1" ht="15">
      <c r="A51" s="1"/>
      <c r="B51" s="1"/>
      <c r="C51" s="7"/>
      <c r="D51" s="68"/>
      <c r="E51" s="40"/>
      <c r="F51" s="40"/>
      <c r="G51" s="41"/>
      <c r="H51" s="55"/>
      <c r="I51" s="68"/>
      <c r="J51" s="40"/>
      <c r="K51" s="40"/>
      <c r="L51" s="41"/>
      <c r="M51" s="41"/>
      <c r="N51" s="68"/>
      <c r="O51" s="40"/>
      <c r="P51" s="40"/>
      <c r="Q51" s="41"/>
      <c r="R51" s="93"/>
      <c r="S51" s="133"/>
      <c r="T51" s="134"/>
      <c r="U51" s="134"/>
      <c r="V51" s="134"/>
      <c r="W51" s="135"/>
      <c r="X51" s="133"/>
      <c r="Y51" s="134"/>
      <c r="Z51" s="134"/>
      <c r="AA51" s="134"/>
      <c r="AB51" s="135"/>
      <c r="AC51" s="133"/>
      <c r="AD51" s="134"/>
      <c r="AE51" s="86">
        <f t="shared" si="29"/>
        <v>0</v>
      </c>
    </row>
    <row r="52" spans="1:31" s="21" customFormat="1" ht="15">
      <c r="A52" s="1"/>
      <c r="B52" s="25" t="s">
        <v>4</v>
      </c>
      <c r="C52" s="26"/>
      <c r="D52" s="54">
        <v>-23.9</v>
      </c>
      <c r="E52" s="55">
        <v>-25</v>
      </c>
      <c r="F52" s="55">
        <v>-15</v>
      </c>
      <c r="G52" s="56">
        <v>-26.6</v>
      </c>
      <c r="H52" s="55">
        <v>-90.5</v>
      </c>
      <c r="I52" s="54">
        <v>-19.7</v>
      </c>
      <c r="J52" s="55">
        <v>-23.9</v>
      </c>
      <c r="K52" s="55">
        <v>-30.2</v>
      </c>
      <c r="L52" s="56">
        <v>45.6</v>
      </c>
      <c r="M52" s="56">
        <v>-28.199999999999996</v>
      </c>
      <c r="N52" s="54">
        <v>-30.9</v>
      </c>
      <c r="O52" s="55">
        <v>-17.600000000000001</v>
      </c>
      <c r="P52" s="55">
        <v>-14.7</v>
      </c>
      <c r="Q52" s="56">
        <v>-8.6</v>
      </c>
      <c r="R52" s="88">
        <f>SUM(N52:Q52)</f>
        <v>-71.8</v>
      </c>
      <c r="S52" s="54">
        <v>-32.1</v>
      </c>
      <c r="T52" s="3">
        <v>-35.4</v>
      </c>
      <c r="U52" s="3">
        <v>-29.4</v>
      </c>
      <c r="V52" s="3">
        <v>50.4</v>
      </c>
      <c r="W52" s="88">
        <f>SUM(S52:V52)</f>
        <v>-46.500000000000007</v>
      </c>
      <c r="X52" s="54">
        <v>-28</v>
      </c>
      <c r="Y52" s="3">
        <v>-46.8</v>
      </c>
      <c r="Z52" s="3">
        <v>-49.6</v>
      </c>
      <c r="AA52" s="3">
        <v>-24.8</v>
      </c>
      <c r="AB52" s="88">
        <f>SUM(X52:AA52)</f>
        <v>-149.20000000000002</v>
      </c>
      <c r="AC52" s="54">
        <v>-51.3</v>
      </c>
      <c r="AD52" s="3">
        <v>-54.9</v>
      </c>
      <c r="AE52" s="88">
        <f t="shared" si="29"/>
        <v>-106.19999999999999</v>
      </c>
    </row>
    <row r="53" spans="1:31" s="21" customFormat="1">
      <c r="A53" s="8"/>
      <c r="B53" s="44" t="s">
        <v>33</v>
      </c>
      <c r="C53" s="48"/>
      <c r="D53" s="57">
        <v>-0.9</v>
      </c>
      <c r="E53" s="58">
        <v>0.2</v>
      </c>
      <c r="F53" s="58">
        <v>-0.3</v>
      </c>
      <c r="G53" s="59">
        <v>10.9</v>
      </c>
      <c r="H53" s="58">
        <v>9.9</v>
      </c>
      <c r="I53" s="57">
        <v>0.1</v>
      </c>
      <c r="J53" s="58">
        <v>1.1000000000000001</v>
      </c>
      <c r="K53" s="58">
        <v>10.7</v>
      </c>
      <c r="L53" s="59">
        <v>-59.2</v>
      </c>
      <c r="M53" s="59">
        <v>-47.300000000000004</v>
      </c>
      <c r="N53" s="57">
        <v>14.4</v>
      </c>
      <c r="O53" s="58">
        <v>4.5</v>
      </c>
      <c r="P53" s="58">
        <v>4.5999999999999996</v>
      </c>
      <c r="Q53" s="59">
        <v>-3.8</v>
      </c>
      <c r="R53" s="87">
        <f>SUM(N53:Q53)</f>
        <v>19.7</v>
      </c>
      <c r="S53" s="137">
        <v>12</v>
      </c>
      <c r="T53" s="84">
        <v>14.3</v>
      </c>
      <c r="U53" s="84">
        <v>13.1</v>
      </c>
      <c r="V53" s="66">
        <v>-71</v>
      </c>
      <c r="W53" s="125">
        <f>SUM(S53:V53)</f>
        <v>-31.6</v>
      </c>
      <c r="X53" s="137">
        <v>4.9000000000000004</v>
      </c>
      <c r="Y53" s="84">
        <v>17.2</v>
      </c>
      <c r="Z53" s="84">
        <v>18.7</v>
      </c>
      <c r="AA53" s="84">
        <v>-1.3</v>
      </c>
      <c r="AB53" s="87">
        <f>SUM(X53:AA53)</f>
        <v>39.5</v>
      </c>
      <c r="AC53" s="137">
        <v>15.4</v>
      </c>
      <c r="AD53" s="84">
        <v>14.3</v>
      </c>
      <c r="AE53" s="87">
        <f t="shared" si="29"/>
        <v>29.700000000000003</v>
      </c>
    </row>
    <row r="54" spans="1:31" s="21" customFormat="1">
      <c r="A54" s="11"/>
      <c r="B54" s="45" t="s">
        <v>66</v>
      </c>
      <c r="C54" s="46"/>
      <c r="D54" s="54">
        <v>-24.799999999999997</v>
      </c>
      <c r="E54" s="55">
        <v>-24.8</v>
      </c>
      <c r="F54" s="55">
        <v>-15.3</v>
      </c>
      <c r="G54" s="56">
        <v>-15.700000000000001</v>
      </c>
      <c r="H54" s="55">
        <v>-80.599999999999994</v>
      </c>
      <c r="I54" s="54">
        <v>-19.599999999999998</v>
      </c>
      <c r="J54" s="55">
        <v>-22.799999999999997</v>
      </c>
      <c r="K54" s="55">
        <v>-19.5</v>
      </c>
      <c r="L54" s="56">
        <v>-13.600000000000001</v>
      </c>
      <c r="M54" s="56">
        <v>-75.5</v>
      </c>
      <c r="N54" s="122">
        <f t="shared" ref="N54:S54" si="30">SUM(N52:N53)</f>
        <v>-16.5</v>
      </c>
      <c r="O54" s="123">
        <f t="shared" si="30"/>
        <v>-13.100000000000001</v>
      </c>
      <c r="P54" s="55">
        <f t="shared" si="30"/>
        <v>-10.1</v>
      </c>
      <c r="Q54" s="55">
        <f t="shared" si="30"/>
        <v>-12.399999999999999</v>
      </c>
      <c r="R54" s="88">
        <f t="shared" si="30"/>
        <v>-52.099999999999994</v>
      </c>
      <c r="S54" s="122">
        <f t="shared" si="30"/>
        <v>-20.100000000000001</v>
      </c>
      <c r="T54" s="55">
        <f>SUM(T52:T53)</f>
        <v>-21.099999999999998</v>
      </c>
      <c r="U54" s="55">
        <f>SUM(U52:U53)</f>
        <v>-16.299999999999997</v>
      </c>
      <c r="V54" s="55">
        <f>SUM(V52:V53)</f>
        <v>-20.6</v>
      </c>
      <c r="W54" s="88">
        <f>SUM(W52:W53)</f>
        <v>-78.100000000000009</v>
      </c>
      <c r="X54" s="122">
        <f t="shared" ref="X54" si="31">SUM(X52:X53)</f>
        <v>-23.1</v>
      </c>
      <c r="Y54" s="55">
        <f>SUM(Y52:Y53)</f>
        <v>-29.599999999999998</v>
      </c>
      <c r="Z54" s="55">
        <f>SUM(Z52:Z53)</f>
        <v>-30.900000000000002</v>
      </c>
      <c r="AA54" s="55">
        <f>SUM(AA52:AA53)</f>
        <v>-26.1</v>
      </c>
      <c r="AB54" s="88">
        <f>SUM(AB52:AB53)</f>
        <v>-109.70000000000002</v>
      </c>
      <c r="AC54" s="122">
        <f t="shared" ref="AC54" si="32">SUM(AC52:AC53)</f>
        <v>-35.9</v>
      </c>
      <c r="AD54" s="55">
        <f>SUM(AD52:AD53)</f>
        <v>-40.599999999999994</v>
      </c>
      <c r="AE54" s="88">
        <f>SUM(AE52:AE53)</f>
        <v>-76.499999999999986</v>
      </c>
    </row>
    <row r="55" spans="1:31" s="21" customFormat="1">
      <c r="A55" s="11"/>
      <c r="B55" s="11"/>
      <c r="C55" s="102"/>
      <c r="D55" s="114"/>
      <c r="E55" s="112"/>
      <c r="F55" s="112"/>
      <c r="G55" s="111"/>
      <c r="H55" s="112"/>
      <c r="I55" s="114"/>
      <c r="J55" s="112"/>
      <c r="K55" s="112"/>
      <c r="L55" s="111"/>
      <c r="M55" s="111"/>
      <c r="N55" s="114"/>
      <c r="O55" s="112"/>
      <c r="P55" s="112"/>
      <c r="Q55" s="112"/>
      <c r="R55" s="115"/>
      <c r="S55" s="138"/>
      <c r="T55" s="134"/>
      <c r="U55" s="134"/>
      <c r="V55" s="134"/>
      <c r="W55" s="135"/>
      <c r="X55" s="138"/>
      <c r="Y55" s="134"/>
      <c r="Z55" s="134"/>
      <c r="AA55" s="134"/>
      <c r="AB55" s="135"/>
      <c r="AC55" s="138"/>
      <c r="AD55" s="134"/>
      <c r="AE55" s="164"/>
    </row>
    <row r="56" spans="1:31" s="21" customFormat="1" ht="15" collapsed="1">
      <c r="A56" s="11"/>
      <c r="B56" s="22" t="s">
        <v>5</v>
      </c>
      <c r="C56" s="47"/>
      <c r="D56" s="54">
        <v>87.1</v>
      </c>
      <c r="E56" s="55">
        <v>57</v>
      </c>
      <c r="F56" s="55">
        <v>87.9</v>
      </c>
      <c r="G56" s="56">
        <v>44.5</v>
      </c>
      <c r="H56" s="55">
        <v>276.5</v>
      </c>
      <c r="I56" s="54">
        <v>57.4</v>
      </c>
      <c r="J56" s="55">
        <v>66.400000000000006</v>
      </c>
      <c r="K56" s="55">
        <v>79.900000000000006</v>
      </c>
      <c r="L56" s="56">
        <v>-57.6</v>
      </c>
      <c r="M56" s="56">
        <v>146.10000000000002</v>
      </c>
      <c r="N56" s="54">
        <v>90.6</v>
      </c>
      <c r="O56" s="55">
        <v>69.5</v>
      </c>
      <c r="P56" s="55">
        <v>67.900000000000006</v>
      </c>
      <c r="Q56" s="55">
        <v>0.8</v>
      </c>
      <c r="R56" s="88">
        <f>SUM(N56:Q56)</f>
        <v>228.8</v>
      </c>
      <c r="S56" s="136">
        <v>86.5</v>
      </c>
      <c r="T56" s="134">
        <v>103.1</v>
      </c>
      <c r="U56" s="134">
        <v>45.6</v>
      </c>
      <c r="V56" s="134">
        <f>V32+V48+V52</f>
        <v>6.2999999999999616</v>
      </c>
      <c r="W56" s="135">
        <f>SUM(S56:V56)</f>
        <v>241.49999999999994</v>
      </c>
      <c r="X56" s="134">
        <f>X32+X48+X52+X50</f>
        <v>9.4000000000000234</v>
      </c>
      <c r="Y56" s="134">
        <f>Y32+Y48+Y52+Y50</f>
        <v>86.799999999999983</v>
      </c>
      <c r="Z56" s="134">
        <f>Z32+Z48+Z52+Z50</f>
        <v>68.600000000000023</v>
      </c>
      <c r="AA56" s="134">
        <f>AA32+AA48+AA52+AA50+AA49</f>
        <v>97.999999999999957</v>
      </c>
      <c r="AB56" s="135">
        <f>SUM(X56:AA56)</f>
        <v>262.79999999999995</v>
      </c>
      <c r="AC56" s="134">
        <f>AC32+AC48+AC52+AC50</f>
        <v>121.40000000000003</v>
      </c>
      <c r="AD56" s="134">
        <f>AD32+AD48+AD52+AD50</f>
        <v>150.09999999999997</v>
      </c>
      <c r="AE56" s="86">
        <f>SUM(AC56:AD56)</f>
        <v>271.5</v>
      </c>
    </row>
    <row r="57" spans="1:31" s="21" customFormat="1">
      <c r="A57" s="11"/>
      <c r="B57" s="81" t="s">
        <v>15</v>
      </c>
      <c r="C57" s="46"/>
      <c r="D57" s="114"/>
      <c r="E57" s="112"/>
      <c r="F57" s="112"/>
      <c r="G57" s="111"/>
      <c r="H57" s="112"/>
      <c r="I57" s="114"/>
      <c r="J57" s="112"/>
      <c r="K57" s="112"/>
      <c r="L57" s="111"/>
      <c r="M57" s="111"/>
      <c r="N57" s="114"/>
      <c r="O57" s="112"/>
      <c r="P57" s="112"/>
      <c r="Q57" s="112"/>
      <c r="R57" s="115"/>
      <c r="S57" s="138"/>
      <c r="T57" s="134"/>
      <c r="U57" s="134"/>
      <c r="V57" s="134"/>
      <c r="W57" s="135"/>
      <c r="X57" s="138"/>
      <c r="Y57" s="134"/>
      <c r="Z57" s="134"/>
      <c r="AA57" s="134"/>
      <c r="AB57" s="135"/>
      <c r="AC57" s="138"/>
      <c r="AD57" s="134"/>
      <c r="AE57" s="164"/>
    </row>
    <row r="58" spans="1:31" s="21" customFormat="1">
      <c r="A58" s="11"/>
      <c r="B58" s="31" t="s">
        <v>82</v>
      </c>
      <c r="C58" s="46"/>
      <c r="D58" s="79">
        <v>-20.200000000000003</v>
      </c>
      <c r="E58" s="67">
        <v>17.599999999999998</v>
      </c>
      <c r="F58" s="67">
        <v>-35.200000000000003</v>
      </c>
      <c r="G58" s="78">
        <v>-1.0999999999999999</v>
      </c>
      <c r="H58" s="67">
        <v>-38.900000000000013</v>
      </c>
      <c r="I58" s="63">
        <v>4.3</v>
      </c>
      <c r="J58" s="3">
        <v>7</v>
      </c>
      <c r="K58" s="3">
        <v>-46.5</v>
      </c>
      <c r="L58" s="17">
        <v>193.5</v>
      </c>
      <c r="M58" s="78">
        <v>158.30000000000001</v>
      </c>
      <c r="N58" s="63">
        <f>SUM(N35:N36)</f>
        <v>-24.8</v>
      </c>
      <c r="O58" s="3">
        <f>SUM(O35:O36)</f>
        <v>-13.799999999999999</v>
      </c>
      <c r="P58" s="3">
        <f>SUM(P35:P36)</f>
        <v>-11.7</v>
      </c>
      <c r="Q58" s="17">
        <f>73.4+0.4</f>
        <v>73.800000000000011</v>
      </c>
      <c r="R58" s="86">
        <f>SUM(N58:Q58)</f>
        <v>23.500000000000014</v>
      </c>
      <c r="S58" s="63">
        <f>SUM(S35:S36)</f>
        <v>-8.1</v>
      </c>
      <c r="T58" s="3">
        <f>SUM(T35:T36)</f>
        <v>-18.400000000000002</v>
      </c>
      <c r="U58" s="3">
        <f>SUM(U35:U36)</f>
        <v>19</v>
      </c>
      <c r="V58" s="3">
        <f>SUM(V35:V36)</f>
        <v>67.400000000000006</v>
      </c>
      <c r="W58" s="88">
        <f t="shared" ref="W58:W64" si="33">SUM(S58:V58)</f>
        <v>59.900000000000006</v>
      </c>
      <c r="X58" s="63">
        <f>SUM(X35:X36)</f>
        <v>64</v>
      </c>
      <c r="Y58" s="3">
        <f>SUM(Y35:Y36)</f>
        <v>16.600000000000001</v>
      </c>
      <c r="Z58" s="3">
        <f>SUM(Z35:Z36)</f>
        <v>36.099999999999994</v>
      </c>
      <c r="AA58" s="3">
        <f>SUM(AA35:AA36)</f>
        <v>28.400000000000002</v>
      </c>
      <c r="AB58" s="88">
        <f t="shared" ref="AB58:AB64" si="34">SUM(X58:AA58)</f>
        <v>145.1</v>
      </c>
      <c r="AC58" s="63">
        <f>SUM(AC35:AC36)</f>
        <v>-2.5</v>
      </c>
      <c r="AD58" s="3">
        <f>SUM(AD35:AD36)</f>
        <v>-9.2999999999999989</v>
      </c>
      <c r="AE58" s="86">
        <f t="shared" ref="AE58:AE64" si="35">SUM(AC58:AD58)</f>
        <v>-11.799999999999999</v>
      </c>
    </row>
    <row r="59" spans="1:31" s="21" customFormat="1">
      <c r="A59" s="11"/>
      <c r="B59" s="31" t="s">
        <v>55</v>
      </c>
      <c r="C59" s="46"/>
      <c r="D59" s="54">
        <v>0.7</v>
      </c>
      <c r="E59" s="55">
        <v>-0.1</v>
      </c>
      <c r="F59" s="55">
        <v>0.2</v>
      </c>
      <c r="G59" s="56">
        <v>0.3</v>
      </c>
      <c r="H59" s="55">
        <v>1.1000000000000001</v>
      </c>
      <c r="I59" s="82">
        <v>-0.1</v>
      </c>
      <c r="J59" s="55">
        <v>-0.6</v>
      </c>
      <c r="K59" s="55">
        <v>-0.3</v>
      </c>
      <c r="L59" s="56">
        <v>-0.9</v>
      </c>
      <c r="M59" s="56">
        <v>-1.9</v>
      </c>
      <c r="N59" s="82">
        <v>-0.3</v>
      </c>
      <c r="O59" s="55">
        <v>-0.5</v>
      </c>
      <c r="P59" s="97">
        <v>-0.7</v>
      </c>
      <c r="Q59" s="97">
        <v>-0.5</v>
      </c>
      <c r="R59" s="86">
        <f>SUM(N59:Q59)</f>
        <v>-2</v>
      </c>
      <c r="S59" s="82">
        <v>-0.2</v>
      </c>
      <c r="T59" s="3">
        <v>-0.4</v>
      </c>
      <c r="U59" s="3">
        <v>-0.3</v>
      </c>
      <c r="V59" s="3">
        <v>-0.5</v>
      </c>
      <c r="W59" s="88">
        <f t="shared" si="33"/>
        <v>-1.4000000000000001</v>
      </c>
      <c r="X59" s="82">
        <v>-0.1</v>
      </c>
      <c r="Y59" s="3">
        <v>-0.1</v>
      </c>
      <c r="Z59" s="3">
        <v>-0.1</v>
      </c>
      <c r="AA59" s="3">
        <v>-0.2</v>
      </c>
      <c r="AB59" s="88">
        <f t="shared" si="34"/>
        <v>-0.5</v>
      </c>
      <c r="AC59" s="82">
        <v>-0.1</v>
      </c>
      <c r="AD59" s="3">
        <v>-0.2</v>
      </c>
      <c r="AE59" s="86">
        <f t="shared" si="35"/>
        <v>-0.30000000000000004</v>
      </c>
    </row>
    <row r="60" spans="1:31" s="21" customFormat="1">
      <c r="A60" s="11"/>
      <c r="B60" s="31" t="s">
        <v>75</v>
      </c>
      <c r="C60" s="46"/>
      <c r="D60" s="70">
        <v>0</v>
      </c>
      <c r="E60" s="71">
        <v>0</v>
      </c>
      <c r="F60" s="67" t="s">
        <v>20</v>
      </c>
      <c r="G60" s="72">
        <v>0</v>
      </c>
      <c r="H60" s="71">
        <v>0</v>
      </c>
      <c r="I60" s="70">
        <v>0</v>
      </c>
      <c r="J60" s="71">
        <v>0</v>
      </c>
      <c r="K60" s="55">
        <v>26.1</v>
      </c>
      <c r="L60" s="72">
        <v>0</v>
      </c>
      <c r="M60" s="86">
        <f>SUM(I60:L60)</f>
        <v>26.1</v>
      </c>
      <c r="N60" s="82">
        <v>0</v>
      </c>
      <c r="O60" s="3">
        <v>0</v>
      </c>
      <c r="P60" s="97">
        <v>1</v>
      </c>
      <c r="Q60" s="97">
        <v>0</v>
      </c>
      <c r="R60" s="86">
        <f>SUM(N60:Q60)</f>
        <v>1</v>
      </c>
      <c r="S60" s="82">
        <v>0</v>
      </c>
      <c r="T60" s="3">
        <v>0</v>
      </c>
      <c r="U60" s="3">
        <v>0</v>
      </c>
      <c r="V60" s="3">
        <v>0</v>
      </c>
      <c r="W60" s="86">
        <v>0</v>
      </c>
      <c r="X60" s="82">
        <v>0</v>
      </c>
      <c r="Y60" s="3">
        <v>0</v>
      </c>
      <c r="Z60" s="3">
        <v>0</v>
      </c>
      <c r="AA60" s="3">
        <v>0</v>
      </c>
      <c r="AB60" s="86">
        <v>0</v>
      </c>
      <c r="AC60" s="82">
        <v>0</v>
      </c>
      <c r="AD60" s="3">
        <v>0</v>
      </c>
      <c r="AE60" s="86">
        <f t="shared" si="35"/>
        <v>0</v>
      </c>
    </row>
    <row r="61" spans="1:31" s="21" customFormat="1">
      <c r="A61" s="11"/>
      <c r="B61" s="31" t="s">
        <v>34</v>
      </c>
      <c r="C61" s="46"/>
      <c r="D61" s="70">
        <v>0</v>
      </c>
      <c r="E61" s="71">
        <v>0</v>
      </c>
      <c r="F61" s="67" t="s">
        <v>20</v>
      </c>
      <c r="G61" s="72">
        <v>0</v>
      </c>
      <c r="H61" s="71">
        <v>0</v>
      </c>
      <c r="I61" s="70">
        <v>0</v>
      </c>
      <c r="J61" s="71">
        <v>1.7</v>
      </c>
      <c r="K61" s="71">
        <v>3</v>
      </c>
      <c r="L61" s="56">
        <v>5.3</v>
      </c>
      <c r="M61" s="72">
        <v>10</v>
      </c>
      <c r="N61" s="63">
        <v>0</v>
      </c>
      <c r="O61" s="3">
        <v>0</v>
      </c>
      <c r="P61" s="3">
        <v>0</v>
      </c>
      <c r="Q61" s="17">
        <v>0</v>
      </c>
      <c r="R61" s="86">
        <v>0</v>
      </c>
      <c r="S61" s="63">
        <v>0</v>
      </c>
      <c r="T61" s="3">
        <v>0</v>
      </c>
      <c r="U61" s="3">
        <v>0</v>
      </c>
      <c r="V61" s="3">
        <f>V37</f>
        <v>0</v>
      </c>
      <c r="W61" s="86">
        <f t="shared" si="33"/>
        <v>0</v>
      </c>
      <c r="X61" s="63">
        <v>0</v>
      </c>
      <c r="Y61" s="3">
        <f t="shared" ref="Y61:AA63" si="36">Y37</f>
        <v>0</v>
      </c>
      <c r="Z61" s="3">
        <f t="shared" si="36"/>
        <v>0</v>
      </c>
      <c r="AA61" s="3">
        <f t="shared" si="36"/>
        <v>0</v>
      </c>
      <c r="AB61" s="86">
        <f t="shared" si="34"/>
        <v>0</v>
      </c>
      <c r="AC61" s="63">
        <v>0</v>
      </c>
      <c r="AD61" s="3">
        <f t="shared" ref="AD61" si="37">AD37</f>
        <v>0</v>
      </c>
      <c r="AE61" s="86">
        <f t="shared" si="35"/>
        <v>0</v>
      </c>
    </row>
    <row r="62" spans="1:31" s="21" customFormat="1">
      <c r="A62" s="11"/>
      <c r="B62" s="31" t="str">
        <f>B38</f>
        <v>Restructuring expenses</v>
      </c>
      <c r="C62" s="46"/>
      <c r="D62" s="70">
        <v>0</v>
      </c>
      <c r="E62" s="71">
        <v>0</v>
      </c>
      <c r="F62" s="67" t="s">
        <v>20</v>
      </c>
      <c r="G62" s="72">
        <v>0</v>
      </c>
      <c r="H62" s="71">
        <v>0</v>
      </c>
      <c r="I62" s="70">
        <v>0</v>
      </c>
      <c r="J62" s="71">
        <v>0</v>
      </c>
      <c r="K62" s="67" t="s">
        <v>20</v>
      </c>
      <c r="L62" s="72">
        <v>0</v>
      </c>
      <c r="M62" s="72">
        <v>0</v>
      </c>
      <c r="N62" s="63">
        <v>0</v>
      </c>
      <c r="O62" s="3">
        <v>0</v>
      </c>
      <c r="P62" s="3">
        <v>0</v>
      </c>
      <c r="Q62" s="17">
        <v>0</v>
      </c>
      <c r="R62" s="86">
        <v>0</v>
      </c>
      <c r="S62" s="63">
        <v>0</v>
      </c>
      <c r="T62" s="3">
        <v>0</v>
      </c>
      <c r="U62" s="3">
        <v>0</v>
      </c>
      <c r="V62" s="3">
        <f>V38</f>
        <v>0</v>
      </c>
      <c r="W62" s="86">
        <f t="shared" ref="W62" si="38">SUM(S62:V62)</f>
        <v>0</v>
      </c>
      <c r="X62" s="63">
        <f>X38</f>
        <v>11.1</v>
      </c>
      <c r="Y62" s="3">
        <f t="shared" si="36"/>
        <v>0</v>
      </c>
      <c r="Z62" s="3">
        <f t="shared" si="36"/>
        <v>0</v>
      </c>
      <c r="AA62" s="3">
        <f t="shared" si="36"/>
        <v>0</v>
      </c>
      <c r="AB62" s="86">
        <f t="shared" si="34"/>
        <v>11.1</v>
      </c>
      <c r="AC62" s="63">
        <f>AC38</f>
        <v>0</v>
      </c>
      <c r="AD62" s="3">
        <f t="shared" ref="AD62" si="39">AD38</f>
        <v>0</v>
      </c>
      <c r="AE62" s="86">
        <f t="shared" si="35"/>
        <v>0</v>
      </c>
    </row>
    <row r="63" spans="1:31" s="21" customFormat="1">
      <c r="A63" s="11"/>
      <c r="B63" s="19" t="s">
        <v>59</v>
      </c>
      <c r="C63" s="46"/>
      <c r="D63" s="70">
        <v>0</v>
      </c>
      <c r="E63" s="71">
        <v>0</v>
      </c>
      <c r="F63" s="67" t="s">
        <v>20</v>
      </c>
      <c r="G63" s="72">
        <v>0</v>
      </c>
      <c r="H63" s="71">
        <v>0</v>
      </c>
      <c r="I63" s="70">
        <v>0</v>
      </c>
      <c r="J63" s="71">
        <v>0</v>
      </c>
      <c r="K63" s="67" t="s">
        <v>20</v>
      </c>
      <c r="L63" s="72">
        <v>0</v>
      </c>
      <c r="M63" s="71">
        <v>0</v>
      </c>
      <c r="N63" s="63">
        <v>0</v>
      </c>
      <c r="O63" s="3">
        <f>O39</f>
        <v>21.2</v>
      </c>
      <c r="P63" s="67">
        <f>P39</f>
        <v>4.8</v>
      </c>
      <c r="Q63" s="67">
        <v>3.5</v>
      </c>
      <c r="R63" s="86">
        <f>SUM(N63:Q63)</f>
        <v>29.5</v>
      </c>
      <c r="S63" s="63">
        <v>0</v>
      </c>
      <c r="T63" s="3">
        <v>0</v>
      </c>
      <c r="U63" s="3">
        <v>0</v>
      </c>
      <c r="V63" s="3">
        <f>V39</f>
        <v>84.4</v>
      </c>
      <c r="W63" s="86">
        <f t="shared" si="33"/>
        <v>84.4</v>
      </c>
      <c r="X63" s="63">
        <v>0</v>
      </c>
      <c r="Y63" s="3">
        <f t="shared" si="36"/>
        <v>0</v>
      </c>
      <c r="Z63" s="3">
        <f t="shared" si="36"/>
        <v>0</v>
      </c>
      <c r="AA63" s="3">
        <f t="shared" si="36"/>
        <v>0</v>
      </c>
      <c r="AB63" s="86">
        <f t="shared" si="34"/>
        <v>0</v>
      </c>
      <c r="AC63" s="63">
        <v>0</v>
      </c>
      <c r="AD63" s="3">
        <f t="shared" ref="AD63" si="40">AD39</f>
        <v>0</v>
      </c>
      <c r="AE63" s="86">
        <f t="shared" si="35"/>
        <v>0</v>
      </c>
    </row>
    <row r="64" spans="1:31" s="21" customFormat="1">
      <c r="A64" s="8"/>
      <c r="B64" s="44" t="s">
        <v>33</v>
      </c>
      <c r="C64" s="48"/>
      <c r="D64" s="150">
        <v>-0.9</v>
      </c>
      <c r="E64" s="58">
        <v>0.2</v>
      </c>
      <c r="F64" s="58">
        <v>-0.3</v>
      </c>
      <c r="G64" s="59">
        <v>10.9</v>
      </c>
      <c r="H64" s="58">
        <v>9.9</v>
      </c>
      <c r="I64" s="150">
        <v>0.1</v>
      </c>
      <c r="J64" s="84">
        <v>1.1000000000000001</v>
      </c>
      <c r="K64" s="58">
        <v>10.7</v>
      </c>
      <c r="L64" s="59">
        <v>-59.2</v>
      </c>
      <c r="M64" s="59">
        <v>-47.300000000000004</v>
      </c>
      <c r="N64" s="150">
        <v>14.4</v>
      </c>
      <c r="O64" s="58">
        <f>+O53</f>
        <v>4.5</v>
      </c>
      <c r="P64" s="65">
        <f>P53</f>
        <v>4.5999999999999996</v>
      </c>
      <c r="Q64" s="65">
        <v>-3.8</v>
      </c>
      <c r="R64" s="125">
        <f>SUM(N64:Q64)</f>
        <v>19.7</v>
      </c>
      <c r="S64" s="151">
        <f>S53</f>
        <v>12</v>
      </c>
      <c r="T64" s="142">
        <f>T53</f>
        <v>14.3</v>
      </c>
      <c r="U64" s="142">
        <f>U53</f>
        <v>13.1</v>
      </c>
      <c r="V64" s="84">
        <f>V53</f>
        <v>-71</v>
      </c>
      <c r="W64" s="87">
        <f t="shared" si="33"/>
        <v>-31.6</v>
      </c>
      <c r="X64" s="151">
        <f>X53</f>
        <v>4.9000000000000004</v>
      </c>
      <c r="Y64" s="84">
        <f>Y53</f>
        <v>17.2</v>
      </c>
      <c r="Z64" s="84">
        <f>Z53</f>
        <v>18.7</v>
      </c>
      <c r="AA64" s="84">
        <f>AA53</f>
        <v>-1.3</v>
      </c>
      <c r="AB64" s="125">
        <f t="shared" si="34"/>
        <v>39.5</v>
      </c>
      <c r="AC64" s="151">
        <f>AC53</f>
        <v>15.4</v>
      </c>
      <c r="AD64" s="84">
        <f>AD53</f>
        <v>14.3</v>
      </c>
      <c r="AE64" s="125">
        <f t="shared" si="35"/>
        <v>29.700000000000003</v>
      </c>
    </row>
    <row r="65" spans="1:33" s="21" customFormat="1" ht="15">
      <c r="A65" s="1"/>
      <c r="B65" s="89" t="s">
        <v>83</v>
      </c>
      <c r="C65" s="30">
        <v>-5</v>
      </c>
      <c r="D65" s="54">
        <v>66.699999999999989</v>
      </c>
      <c r="E65" s="55">
        <v>74.7</v>
      </c>
      <c r="F65" s="55">
        <v>52.600000000000009</v>
      </c>
      <c r="G65" s="56">
        <v>54.599999999999994</v>
      </c>
      <c r="H65" s="55">
        <v>248.6</v>
      </c>
      <c r="I65" s="54">
        <f>SUM(I56:I64)</f>
        <v>61.699999999999996</v>
      </c>
      <c r="J65" s="55">
        <f>SUM(J56:J64)</f>
        <v>75.600000000000009</v>
      </c>
      <c r="K65" s="55">
        <f>SUM(K56:K64)</f>
        <v>72.900000000000006</v>
      </c>
      <c r="L65" s="55">
        <f>SUM(L56:L64)</f>
        <v>81.100000000000009</v>
      </c>
      <c r="M65" s="88">
        <f>SUM(M56:M64)</f>
        <v>291.30000000000007</v>
      </c>
      <c r="N65" s="54">
        <f t="shared" ref="N65:AB65" si="41">SUM(N56:N64)</f>
        <v>79.900000000000006</v>
      </c>
      <c r="O65" s="55">
        <f t="shared" si="41"/>
        <v>80.900000000000006</v>
      </c>
      <c r="P65" s="55">
        <f t="shared" si="41"/>
        <v>65.899999999999991</v>
      </c>
      <c r="Q65" s="55">
        <f t="shared" si="41"/>
        <v>73.800000000000011</v>
      </c>
      <c r="R65" s="88">
        <f t="shared" si="41"/>
        <v>300.5</v>
      </c>
      <c r="S65" s="136">
        <f t="shared" si="41"/>
        <v>90.2</v>
      </c>
      <c r="T65" s="134">
        <f t="shared" si="41"/>
        <v>98.59999999999998</v>
      </c>
      <c r="U65" s="134">
        <f t="shared" si="41"/>
        <v>77.399999999999991</v>
      </c>
      <c r="V65" s="134">
        <f t="shared" si="41"/>
        <v>86.599999999999966</v>
      </c>
      <c r="W65" s="135">
        <f t="shared" si="41"/>
        <v>352.79999999999995</v>
      </c>
      <c r="X65" s="136">
        <f t="shared" si="41"/>
        <v>89.300000000000026</v>
      </c>
      <c r="Y65" s="134">
        <f t="shared" si="41"/>
        <v>120.49999999999999</v>
      </c>
      <c r="Z65" s="134">
        <f t="shared" si="41"/>
        <v>123.30000000000003</v>
      </c>
      <c r="AA65" s="134">
        <f t="shared" si="41"/>
        <v>124.89999999999996</v>
      </c>
      <c r="AB65" s="135">
        <f t="shared" si="41"/>
        <v>458</v>
      </c>
      <c r="AC65" s="136">
        <f t="shared" ref="AC65" si="42">SUM(AC56:AC64)</f>
        <v>134.20000000000005</v>
      </c>
      <c r="AD65" s="134">
        <f>SUM(AD56:AD64)</f>
        <v>154.89999999999998</v>
      </c>
      <c r="AE65" s="135">
        <f t="shared" ref="AE65" si="43">SUM(AE56:AE64)</f>
        <v>289.09999999999997</v>
      </c>
    </row>
    <row r="66" spans="1:33" s="21" customFormat="1" ht="15">
      <c r="A66" s="1"/>
      <c r="B66" s="89"/>
      <c r="C66" s="30"/>
      <c r="D66" s="54"/>
      <c r="E66" s="55"/>
      <c r="F66" s="55"/>
      <c r="G66" s="56"/>
      <c r="H66" s="55"/>
      <c r="I66" s="54"/>
      <c r="J66" s="55"/>
      <c r="K66" s="55"/>
      <c r="L66" s="56"/>
      <c r="M66" s="56"/>
      <c r="N66" s="54"/>
      <c r="O66" s="55"/>
      <c r="P66" s="55"/>
      <c r="Q66" s="55"/>
      <c r="R66" s="88"/>
      <c r="S66" s="136"/>
      <c r="T66" s="134"/>
      <c r="U66" s="134"/>
      <c r="V66" s="134"/>
      <c r="W66" s="135"/>
      <c r="X66" s="136"/>
      <c r="Y66" s="134"/>
      <c r="Z66" s="134"/>
      <c r="AA66" s="134"/>
      <c r="AB66" s="135"/>
      <c r="AC66" s="136"/>
      <c r="AD66" s="134"/>
      <c r="AE66" s="135"/>
    </row>
    <row r="67" spans="1:33" s="21" customFormat="1" ht="15">
      <c r="A67" s="1"/>
      <c r="B67" s="171" t="s">
        <v>86</v>
      </c>
      <c r="C67" s="30"/>
      <c r="D67" s="136">
        <v>94.3</v>
      </c>
      <c r="E67" s="134">
        <f>182.6-D67</f>
        <v>88.3</v>
      </c>
      <c r="F67" s="134">
        <f>298.9-D67-E67</f>
        <v>116.29999999999997</v>
      </c>
      <c r="G67" s="3">
        <f>382.5-SUM(D67:F67)</f>
        <v>83.600000000000023</v>
      </c>
      <c r="H67" s="157">
        <v>382.5</v>
      </c>
      <c r="I67" s="136">
        <f>83.2+1.18</f>
        <v>84.38000000000001</v>
      </c>
      <c r="J67" s="3">
        <f>158.3+2.325-I67</f>
        <v>76.24499999999999</v>
      </c>
      <c r="K67" s="134">
        <f>271.6+4.547-I67-J67</f>
        <v>115.52200000000006</v>
      </c>
      <c r="L67" s="3">
        <f>308.5-SUM(I67:K67)</f>
        <v>32.352999999999952</v>
      </c>
      <c r="M67" s="86">
        <f t="shared" ref="M67:M69" si="44">SUM(I67:L67)</f>
        <v>308.5</v>
      </c>
      <c r="N67" s="136">
        <v>107.5</v>
      </c>
      <c r="O67" s="134">
        <f>183.5-N67</f>
        <v>76</v>
      </c>
      <c r="P67" s="134">
        <f>309.3-N67-O67</f>
        <v>125.80000000000001</v>
      </c>
      <c r="Q67" s="3">
        <f>304-SUM(N67:P67)</f>
        <v>-5.3000000000000114</v>
      </c>
      <c r="R67" s="86">
        <f t="shared" ref="R67:R69" si="45">SUM(N67:Q67)</f>
        <v>304</v>
      </c>
      <c r="S67" s="136">
        <v>140.19999999999999</v>
      </c>
      <c r="T67" s="134">
        <f>251.8-S67</f>
        <v>111.60000000000002</v>
      </c>
      <c r="U67" s="134">
        <f>393.4-S67-T67</f>
        <v>141.59999999999997</v>
      </c>
      <c r="V67" s="134">
        <f>451.2-SUM(S67:U67)</f>
        <v>57.800000000000011</v>
      </c>
      <c r="W67" s="86">
        <f t="shared" ref="W67:W69" si="46">SUM(S67:V67)</f>
        <v>451.2</v>
      </c>
      <c r="X67" s="136">
        <v>189.2</v>
      </c>
      <c r="Y67" s="134">
        <f>416.8-X67</f>
        <v>227.60000000000002</v>
      </c>
      <c r="Z67" s="134">
        <f>678.4-X67-Y67</f>
        <v>261.59999999999997</v>
      </c>
      <c r="AA67" s="134">
        <f>786.9-SUM(X67:Z67)</f>
        <v>108.5</v>
      </c>
      <c r="AB67" s="86">
        <f t="shared" ref="AB67:AB68" si="47">SUM(X67:AA67)</f>
        <v>786.9</v>
      </c>
      <c r="AC67" s="136">
        <v>184.1</v>
      </c>
      <c r="AD67" s="3">
        <f>357.5-AC67</f>
        <v>173.4</v>
      </c>
      <c r="AE67" s="86">
        <f t="shared" ref="AE67:AE68" si="48">SUM(AC67:AD67)</f>
        <v>357.5</v>
      </c>
      <c r="AG67" s="177"/>
    </row>
    <row r="68" spans="1:33" s="21" customFormat="1" ht="15">
      <c r="A68" s="1"/>
      <c r="B68" s="171" t="s">
        <v>87</v>
      </c>
      <c r="C68" s="30"/>
      <c r="D68" s="82">
        <v>-18.399999999999999</v>
      </c>
      <c r="E68" s="3">
        <f>-36.7-D68</f>
        <v>-18.300000000000004</v>
      </c>
      <c r="F68" s="3">
        <f>-60.1-D68-E68</f>
        <v>-23.4</v>
      </c>
      <c r="G68" s="3">
        <f>-109-SUM(D68:F68)</f>
        <v>-48.9</v>
      </c>
      <c r="H68" s="157">
        <v>-109</v>
      </c>
      <c r="I68" s="168">
        <f>-41.1-1.18</f>
        <v>-42.28</v>
      </c>
      <c r="J68" s="155">
        <f>-155.9-2.325-I68</f>
        <v>-115.94499999999999</v>
      </c>
      <c r="K68" s="155">
        <f>-222-4.547-I68-J68</f>
        <v>-68.322000000000003</v>
      </c>
      <c r="L68" s="3">
        <f>-245.5-SUM(I68:K68)</f>
        <v>-18.953000000000003</v>
      </c>
      <c r="M68" s="86">
        <f t="shared" si="44"/>
        <v>-245.5</v>
      </c>
      <c r="N68" s="82">
        <v>-589.9</v>
      </c>
      <c r="O68" s="3">
        <f>-751.3-N68</f>
        <v>-161.39999999999998</v>
      </c>
      <c r="P68" s="3">
        <f>-812.1-N68-O68</f>
        <v>-60.800000000000068</v>
      </c>
      <c r="Q68" s="3">
        <f>-864.4-SUM(N68:P68)</f>
        <v>-52.299999999999955</v>
      </c>
      <c r="R68" s="86">
        <f t="shared" si="45"/>
        <v>-864.4</v>
      </c>
      <c r="S68" s="82">
        <v>-43.3</v>
      </c>
      <c r="T68" s="3">
        <f>-177.8-S68</f>
        <v>-134.5</v>
      </c>
      <c r="U68" s="3">
        <f>-204.3-S68-T68</f>
        <v>-26.5</v>
      </c>
      <c r="V68" s="3">
        <f>-203.8-SUM(S68:U68)</f>
        <v>0.5</v>
      </c>
      <c r="W68" s="86">
        <f t="shared" si="46"/>
        <v>-203.8</v>
      </c>
      <c r="X68" s="82">
        <v>-6.3</v>
      </c>
      <c r="Y68" s="3">
        <f>-25.4-X68</f>
        <v>-19.099999999999998</v>
      </c>
      <c r="Z68" s="3">
        <f>-85.1-X68-Y68</f>
        <v>-59.7</v>
      </c>
      <c r="AA68" s="3">
        <f>-120.4-SUM(X68:Z68)</f>
        <v>-35.300000000000011</v>
      </c>
      <c r="AB68" s="86">
        <f t="shared" si="47"/>
        <v>-120.4</v>
      </c>
      <c r="AC68" s="82">
        <v>-43.9</v>
      </c>
      <c r="AD68" s="3">
        <f>-82.7-AC68</f>
        <v>-38.800000000000004</v>
      </c>
      <c r="AE68" s="86">
        <f t="shared" si="48"/>
        <v>-82.7</v>
      </c>
      <c r="AG68" s="177"/>
    </row>
    <row r="69" spans="1:33" s="21" customFormat="1" ht="15">
      <c r="A69" s="8"/>
      <c r="B69" s="172" t="s">
        <v>88</v>
      </c>
      <c r="C69" s="117"/>
      <c r="D69" s="124">
        <v>-84.6</v>
      </c>
      <c r="E69" s="84">
        <f>-140.1-D69</f>
        <v>-55.5</v>
      </c>
      <c r="F69" s="84">
        <f>-254.6-D69-E69</f>
        <v>-114.5</v>
      </c>
      <c r="G69" s="84">
        <f>-210-SUM(D69:F69)</f>
        <v>44.599999999999994</v>
      </c>
      <c r="H69" s="173">
        <v>-210</v>
      </c>
      <c r="I69" s="169">
        <v>-76.7</v>
      </c>
      <c r="J69" s="170">
        <f>-68-I69</f>
        <v>8.7000000000000028</v>
      </c>
      <c r="K69" s="170">
        <f>8.6-I69-J69</f>
        <v>76.599999999999994</v>
      </c>
      <c r="L69" s="84">
        <f>60.6-SUM(I69:K69)</f>
        <v>52.000000000000007</v>
      </c>
      <c r="M69" s="125">
        <f t="shared" si="44"/>
        <v>60.6</v>
      </c>
      <c r="N69" s="63">
        <v>392.4</v>
      </c>
      <c r="O69" s="84">
        <f>383.9-N69</f>
        <v>-8.5</v>
      </c>
      <c r="P69" s="84">
        <f>327.8-N69-O69</f>
        <v>-56.099999999999966</v>
      </c>
      <c r="Q69" s="84">
        <f>364.2-SUM(N69:P69)</f>
        <v>36.399999999999977</v>
      </c>
      <c r="R69" s="125">
        <f t="shared" si="45"/>
        <v>364.2</v>
      </c>
      <c r="S69" s="63">
        <v>-80.099999999999994</v>
      </c>
      <c r="T69" s="84">
        <f>-54.1-S69</f>
        <v>25.999999999999993</v>
      </c>
      <c r="U69" s="84">
        <f>-126.1-S69-T69</f>
        <v>-72</v>
      </c>
      <c r="V69" s="84">
        <f>-179-SUM(S69:U69)</f>
        <v>-52.900000000000006</v>
      </c>
      <c r="W69" s="125">
        <f t="shared" si="46"/>
        <v>-179</v>
      </c>
      <c r="X69" s="63">
        <v>-130.1</v>
      </c>
      <c r="Y69" s="84">
        <f>-130.4-X69</f>
        <v>-0.30000000000001137</v>
      </c>
      <c r="Z69" s="84">
        <f>-130.6-X69-Y69</f>
        <v>-0.19999999999998863</v>
      </c>
      <c r="AA69" s="84">
        <f>-540.2-SUM(X69:Z69)</f>
        <v>-409.6</v>
      </c>
      <c r="AB69" s="125">
        <f t="shared" ref="AB69" si="49">SUM(X69:AA69)</f>
        <v>-540.20000000000005</v>
      </c>
      <c r="AC69" s="63">
        <v>-240</v>
      </c>
      <c r="AD69" s="84">
        <f>-313.1-AC69</f>
        <v>-73.100000000000023</v>
      </c>
      <c r="AE69" s="125">
        <f t="shared" ref="AE69" si="50">SUM(AC69:AD69)</f>
        <v>-313.10000000000002</v>
      </c>
      <c r="AG69" s="177"/>
    </row>
    <row r="70" spans="1:33" s="21" customFormat="1" ht="15">
      <c r="A70" s="1"/>
      <c r="B70" s="2"/>
      <c r="C70" s="83"/>
      <c r="D70" s="68"/>
      <c r="E70" s="40"/>
      <c r="F70" s="40"/>
      <c r="G70" s="41"/>
      <c r="H70" s="40"/>
      <c r="I70" s="68"/>
      <c r="J70" s="40"/>
      <c r="K70" s="40"/>
      <c r="L70" s="41"/>
      <c r="M70" s="41"/>
      <c r="N70" s="126"/>
      <c r="O70" s="127"/>
      <c r="P70" s="40"/>
      <c r="Q70" s="41"/>
      <c r="R70" s="93"/>
      <c r="S70" s="140"/>
      <c r="T70" s="134"/>
      <c r="U70" s="134"/>
      <c r="V70" s="134"/>
      <c r="W70" s="135"/>
      <c r="X70" s="140"/>
      <c r="Y70" s="134"/>
      <c r="Z70" s="134"/>
      <c r="AA70" s="134"/>
      <c r="AB70" s="135"/>
      <c r="AC70" s="140"/>
      <c r="AD70" s="134"/>
      <c r="AE70" s="162"/>
    </row>
    <row r="71" spans="1:33" s="21" customFormat="1" ht="15">
      <c r="A71" s="1"/>
      <c r="B71" s="36" t="s">
        <v>19</v>
      </c>
      <c r="C71" s="30"/>
      <c r="D71" s="70">
        <v>0</v>
      </c>
      <c r="E71" s="10">
        <v>0.28999999999999998</v>
      </c>
      <c r="F71" s="67" t="s">
        <v>20</v>
      </c>
      <c r="G71" s="9">
        <v>0.1</v>
      </c>
      <c r="H71" s="10">
        <v>0.39</v>
      </c>
      <c r="I71" s="63">
        <v>0</v>
      </c>
      <c r="J71" s="10">
        <v>0.28000000000000003</v>
      </c>
      <c r="K71" s="3">
        <v>0</v>
      </c>
      <c r="L71" s="9">
        <v>0.1</v>
      </c>
      <c r="M71" s="9">
        <v>0.38</v>
      </c>
      <c r="N71" s="63">
        <v>0</v>
      </c>
      <c r="O71" s="10">
        <v>0.3</v>
      </c>
      <c r="P71" s="3">
        <v>0</v>
      </c>
      <c r="Q71" s="10">
        <v>0.1</v>
      </c>
      <c r="R71" s="130">
        <f>SUM(N71:Q71)</f>
        <v>0.4</v>
      </c>
      <c r="S71" s="63">
        <v>0</v>
      </c>
      <c r="T71" s="10">
        <v>0.26</v>
      </c>
      <c r="U71" s="10">
        <v>0.1</v>
      </c>
      <c r="V71" s="10">
        <v>0</v>
      </c>
      <c r="W71" s="130">
        <f>SUM(S71:V71)</f>
        <v>0.36</v>
      </c>
      <c r="X71" s="63">
        <v>0</v>
      </c>
      <c r="Y71" s="10">
        <v>0</v>
      </c>
      <c r="Z71" s="10">
        <v>0</v>
      </c>
      <c r="AA71" s="10">
        <v>0</v>
      </c>
      <c r="AB71" s="130">
        <f>SUM(X71:AA71)</f>
        <v>0</v>
      </c>
      <c r="AC71" s="10">
        <v>0.7</v>
      </c>
      <c r="AD71" s="10">
        <v>0</v>
      </c>
      <c r="AE71" s="130">
        <f>SUM(AC71:AD71)</f>
        <v>0.7</v>
      </c>
    </row>
    <row r="72" spans="1:33" s="21" customFormat="1" ht="15">
      <c r="A72" s="8"/>
      <c r="B72" s="32"/>
      <c r="C72" s="32"/>
      <c r="D72" s="16"/>
      <c r="E72" s="33"/>
      <c r="F72" s="33"/>
      <c r="G72" s="18"/>
      <c r="H72" s="33"/>
      <c r="I72" s="16"/>
      <c r="J72" s="8"/>
      <c r="K72" s="38"/>
      <c r="L72" s="39"/>
      <c r="M72" s="18"/>
      <c r="N72" s="16"/>
      <c r="O72" s="8"/>
      <c r="P72" s="33"/>
      <c r="Q72" s="18"/>
      <c r="R72" s="131"/>
      <c r="S72" s="141"/>
      <c r="T72" s="142"/>
      <c r="U72" s="142"/>
      <c r="V72" s="142"/>
      <c r="W72" s="143"/>
      <c r="X72" s="141"/>
      <c r="Y72" s="142"/>
      <c r="Z72" s="142"/>
      <c r="AA72" s="142"/>
      <c r="AB72" s="143"/>
      <c r="AC72" s="141"/>
      <c r="AD72" s="142"/>
      <c r="AE72" s="166"/>
    </row>
    <row r="73" spans="1:33" ht="15">
      <c r="B73" s="25"/>
      <c r="C73" s="25"/>
      <c r="O73" s="11"/>
      <c r="P73" s="11"/>
      <c r="Q73" s="11"/>
    </row>
    <row r="77" spans="1:33">
      <c r="H77" s="174"/>
    </row>
    <row r="78" spans="1:33">
      <c r="H78" s="174"/>
    </row>
    <row r="79" spans="1:33">
      <c r="H79" s="174"/>
    </row>
    <row r="80" spans="1:33">
      <c r="H80" s="174"/>
    </row>
  </sheetData>
  <mergeCells count="6">
    <mergeCell ref="AC2:AE2"/>
    <mergeCell ref="X2:AB2"/>
    <mergeCell ref="S2:W2"/>
    <mergeCell ref="N2:R2"/>
    <mergeCell ref="D2:H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0:W48 N39:W39 D37:H37 J37:M37 D70:W70 D63:H63 N63:U63 D61:H61 J61:T61 Z15:Z16 D50:Q59 S50:W57 D27:Q27 D64:U64 S58:U59 D71:Q71 S71:W71 D29:Q36 D28:L28 N28:Q28 B62 B38 Z18:Z19 Z39:Z47 Z54:Z58 Z32:Z37 X50:X59 S6:W25 D6:Q25 Y15 Y32 Y35:Y37 Y54:Y59 X39:X48 X61:Z65 M60 D65:W65 AB70:AB71 AB6:AB34 AB59 R60 Y39:Y46 AB38:AB57 AB63 AA70:AA72 AC15:AD15 R49 W49 S26:V31 X15:X37 AC32:AC59 X38:Z38 AA15:AA59 AB65 I67:L67 I68:L68 M67:O69 P67:R69 T67:W69 Y67:AB69 J69:L69 E67:E69 F67:G69 AD54:AD59 AD32:AD46 AE6:AE41 AE42:AE59 AA61:AA65 AB61 AC61:AC65 AD61:AD67 AE61:AE72 AD68:AD69" unlockedFormula="1"/>
    <ignoredError sqref="R50:R59 R27:R31 R9:R14 W26 R71 R16:R25 M28 R6:R8 W27:W31 AE60" formulaRange="1" unlockedFormula="1"/>
    <ignoredError sqref="R26" formulaRange="1"/>
    <ignoredError sqref="R33:R36 S33:V36 S37:V37 S32:V32 S38:W38 V58:W59 V63:W63 V61:W61 V64:W64 V62:W62 AB58 AB62 AB64 AB35:AB37" formula="1" unlockedFormula="1"/>
    <ignoredError sqref="R32 W32 W37 W33:W36 R15" formula="1" formulaRange="1" unlockedFormula="1"/>
    <ignoredError sqref="R37 R3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80" zoomScaleNormal="80" workbookViewId="0">
      <selection activeCell="B14" sqref="B14:B15"/>
    </sheetView>
  </sheetViews>
  <sheetFormatPr defaultColWidth="9" defaultRowHeight="14.25"/>
  <cols>
    <col min="1" max="1" width="6.875" style="1" customWidth="1"/>
    <col min="2" max="2" width="89" style="1" customWidth="1"/>
    <col min="3" max="16384" width="9" style="1"/>
  </cols>
  <sheetData>
    <row r="1" spans="1:18" ht="15">
      <c r="A1" s="13" t="s">
        <v>17</v>
      </c>
      <c r="B1" s="8"/>
      <c r="C1" s="8"/>
      <c r="D1" s="8"/>
      <c r="E1" s="8"/>
      <c r="F1" s="8"/>
      <c r="G1" s="8"/>
      <c r="H1" s="8"/>
      <c r="I1" s="8"/>
      <c r="J1" s="8"/>
      <c r="K1" s="8"/>
      <c r="L1" s="8"/>
      <c r="M1" s="8"/>
      <c r="N1" s="8"/>
      <c r="O1" s="8"/>
      <c r="P1" s="8"/>
      <c r="Q1" s="8"/>
      <c r="R1" s="8"/>
    </row>
    <row r="2" spans="1:18" ht="128.25">
      <c r="A2" s="12">
        <v>-1</v>
      </c>
      <c r="B2" s="98" t="s">
        <v>46</v>
      </c>
      <c r="C2" s="11"/>
      <c r="D2" s="99"/>
      <c r="E2" s="11"/>
      <c r="F2" s="11"/>
      <c r="G2" s="11"/>
      <c r="H2" s="11"/>
      <c r="I2" s="11"/>
      <c r="J2" s="11"/>
      <c r="K2" s="11"/>
      <c r="L2" s="11"/>
      <c r="M2" s="11"/>
      <c r="N2" s="11"/>
      <c r="O2" s="11"/>
      <c r="P2" s="11"/>
      <c r="Q2" s="11"/>
      <c r="R2" s="11"/>
    </row>
    <row r="3" spans="1:18" ht="15">
      <c r="A3" s="12"/>
      <c r="B3" s="98"/>
      <c r="C3" s="11"/>
      <c r="D3" s="99"/>
      <c r="E3" s="11"/>
      <c r="F3" s="11"/>
      <c r="G3" s="11"/>
      <c r="H3" s="11"/>
      <c r="I3" s="11"/>
      <c r="J3" s="11"/>
      <c r="K3" s="11"/>
      <c r="L3" s="11"/>
      <c r="M3" s="11"/>
      <c r="N3" s="11"/>
      <c r="O3" s="11"/>
      <c r="P3" s="11"/>
      <c r="Q3" s="11"/>
      <c r="R3" s="11"/>
    </row>
    <row r="4" spans="1:18" ht="36.75" customHeight="1">
      <c r="A4" s="12">
        <v>-2</v>
      </c>
      <c r="B4" s="100" t="s">
        <v>69</v>
      </c>
      <c r="C4" s="11"/>
      <c r="D4" s="99"/>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76</v>
      </c>
      <c r="C6" s="2"/>
      <c r="D6" s="2"/>
      <c r="E6" s="2"/>
      <c r="F6" s="2"/>
      <c r="G6" s="2"/>
      <c r="H6" s="2"/>
      <c r="I6" s="2"/>
    </row>
    <row r="7" spans="1:18" ht="6.75" customHeight="1">
      <c r="A7" s="4"/>
      <c r="B7" s="6"/>
      <c r="C7" s="2"/>
      <c r="D7" s="2"/>
      <c r="E7" s="2"/>
      <c r="F7" s="2"/>
      <c r="G7" s="2"/>
      <c r="H7" s="2"/>
      <c r="I7" s="2"/>
    </row>
    <row r="8" spans="1:18" ht="28.5">
      <c r="A8" s="12">
        <v>-4</v>
      </c>
      <c r="B8" s="6" t="s">
        <v>77</v>
      </c>
      <c r="C8" s="2"/>
      <c r="D8" s="2"/>
      <c r="E8" s="2"/>
      <c r="F8" s="2"/>
      <c r="G8" s="2"/>
      <c r="H8" s="2"/>
      <c r="I8" s="2"/>
    </row>
    <row r="9" spans="1:18" ht="15">
      <c r="A9" s="4"/>
      <c r="B9" s="6"/>
      <c r="C9" s="2"/>
      <c r="D9" s="2"/>
      <c r="E9" s="2"/>
      <c r="F9" s="2"/>
      <c r="G9" s="2"/>
      <c r="H9" s="2"/>
      <c r="I9" s="2"/>
    </row>
    <row r="10" spans="1:18" ht="58.5" customHeight="1">
      <c r="A10" s="4">
        <v>-5</v>
      </c>
      <c r="B10" s="101" t="s">
        <v>78</v>
      </c>
    </row>
    <row r="12" spans="1:18" ht="28.5">
      <c r="A12" s="4">
        <v>-6</v>
      </c>
      <c r="B12" s="6" t="s">
        <v>79</v>
      </c>
    </row>
    <row r="13" spans="1:18" ht="6.75" customHeight="1"/>
    <row r="14" spans="1:18">
      <c r="B14" s="187" t="s">
        <v>48</v>
      </c>
    </row>
    <row r="15" spans="1:18">
      <c r="B15" s="187"/>
    </row>
    <row r="16" spans="1:18" ht="6.75" customHeight="1"/>
    <row r="17" spans="1:2">
      <c r="B17" s="1" t="s">
        <v>60</v>
      </c>
    </row>
    <row r="18" spans="1:2" ht="4.5" customHeight="1"/>
    <row r="19" spans="1:2">
      <c r="B19" s="1" t="s">
        <v>65</v>
      </c>
    </row>
    <row r="21" spans="1:2" ht="15">
      <c r="A21" s="4">
        <v>-7</v>
      </c>
      <c r="B21" s="98" t="s">
        <v>67</v>
      </c>
    </row>
    <row r="22" spans="1:2" ht="4.5" customHeight="1">
      <c r="A22" s="4"/>
      <c r="B22" s="98"/>
    </row>
    <row r="23" spans="1:2" ht="42.75">
      <c r="B23" s="2" t="s">
        <v>68</v>
      </c>
    </row>
    <row r="25" spans="1:2" ht="15">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4.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5.xml><?xml version="1.0" encoding="utf-8"?>
<?mso-contentType ?>
<SharedContentType xmlns="Microsoft.SharePoint.Taxonomy.ContentTypeSync" SourceId="7fab8bed-2a1e-4b70-a6bc-67d865bad826" ContentTypeId="0x010100C40666EE75668C44BECB7F8AD5D91BCB010101" PreviousValue="false"/>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1878965A-CC32-4AE3-9E3F-7C0E8BBD43C3}">
  <ds:schemaRefs>
    <ds:schemaRef ds:uri="office.server.policy"/>
  </ds:schemaRefs>
</ds:datastoreItem>
</file>

<file path=customXml/itemProps5.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6.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7.xml><?xml version="1.0" encoding="utf-8"?>
<ds:datastoreItem xmlns:ds="http://schemas.openxmlformats.org/officeDocument/2006/customXml" ds:itemID="{00C1C624-2BDF-4AD1-9211-212EC1CA88B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James Brennan-Chong</cp:lastModifiedBy>
  <cp:lastPrinted>2019-08-01T20:29:59Z</cp:lastPrinted>
  <dcterms:created xsi:type="dcterms:W3CDTF">1999-01-24T20:29:10Z</dcterms:created>
  <dcterms:modified xsi:type="dcterms:W3CDTF">2021-11-08T19:45:45Z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TemplateUrl">
    <vt:lpwstr/>
  </property>
  <property fmtid="{D5CDD505-2E9C-101B-9397-08002B2CF9AE}" pid="16" name="Specification Type">
    <vt:lpwstr/>
  </property>
  <property fmtid="{D5CDD505-2E9C-101B-9397-08002B2CF9AE}" pid="17" name="Material Source">
    <vt:lpwstr/>
  </property>
  <property fmtid="{D5CDD505-2E9C-101B-9397-08002B2CF9AE}" pid="18" name="CIP Code">
    <vt:lpwstr/>
  </property>
  <property fmtid="{D5CDD505-2E9C-101B-9397-08002B2CF9AE}" pid="19" name="External Source">
    <vt:bool>false</vt:bool>
  </property>
  <property fmtid="{D5CDD505-2E9C-101B-9397-08002B2CF9AE}" pid="20" name="Contract Type">
    <vt:lpwstr/>
  </property>
  <property fmtid="{D5CDD505-2E9C-101B-9397-08002B2CF9AE}" pid="21" name="Project Code">
    <vt:lpwstr/>
  </property>
  <property fmtid="{D5CDD505-2E9C-101B-9397-08002B2CF9AE}" pid="22" name="Test">
    <vt:lpwstr/>
  </property>
  <property fmtid="{D5CDD505-2E9C-101B-9397-08002B2CF9AE}" pid="23" name="IconOverlay">
    <vt:lpwstr/>
  </property>
  <property fmtid="{D5CDD505-2E9C-101B-9397-08002B2CF9AE}" pid="24" name="ID Number">
    <vt:lpwstr/>
  </property>
  <property fmtid="{D5CDD505-2E9C-101B-9397-08002B2CF9AE}" pid="25" name="Process">
    <vt:lpwstr/>
  </property>
  <property fmtid="{D5CDD505-2E9C-101B-9397-08002B2CF9AE}" pid="26" name="Project Name">
    <vt:lpwstr/>
  </property>
  <property fmtid="{D5CDD505-2E9C-101B-9397-08002B2CF9AE}" pid="27" name="Property 1">
    <vt:lpwstr/>
  </property>
  <property fmtid="{D5CDD505-2E9C-101B-9397-08002B2CF9AE}" pid="28" name="Analyses Type">
    <vt:lpwstr/>
  </property>
  <property fmtid="{D5CDD505-2E9C-101B-9397-08002B2CF9AE}" pid="29" name="Request Budget">
    <vt:lpwstr/>
  </property>
  <property fmtid="{D5CDD505-2E9C-101B-9397-08002B2CF9AE}" pid="30" name="SV_QUERY_LIST_4F35BF76-6C0D-4D9B-82B2-816C12CF3733">
    <vt:lpwstr>empty_477D106A-C0D6-4607-AEBD-E2C9D60EA279</vt:lpwstr>
  </property>
  <property fmtid="{D5CDD505-2E9C-101B-9397-08002B2CF9AE}" pid="31" name="SV_HIDDEN_GRID_QUERY_LIST_4F35BF76-6C0D-4D9B-82B2-816C12CF3733">
    <vt:lpwstr>empty_477D106A-C0D6-4607-AEBD-E2C9D60EA279</vt:lpwstr>
  </property>
</Properties>
</file>